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2240" activeTab="0"/>
  </bookViews>
  <sheets>
    <sheet name="Sayfa1" sheetId="1" r:id="rId1"/>
    <sheet name="Sayfa2" sheetId="2" r:id="rId2"/>
  </sheets>
  <definedNames>
    <definedName name="ahmet">'Sayfa2'!#REF!</definedName>
    <definedName name="esik">'Sayfa2'!$AH$11:$AH$13</definedName>
    <definedName name="esikkuvveti">'Sayfa2'!#REF!</definedName>
    <definedName name="eşik">'Sayfa2'!#REF!</definedName>
    <definedName name="fren">'Sayfa2'!$O$32:$O$34</definedName>
    <definedName name="Frenleme">'Sayfa2'!$C$11:$K$18</definedName>
    <definedName name="Frenleme1">'Sayfa2'!$C$11:$K$18</definedName>
    <definedName name="kapasite">'Sayfa2'!#REF!</definedName>
    <definedName name="raytipi">'Sayfa2'!$S$6:$S$13</definedName>
    <definedName name="sayi">'Sayfa2'!#REF!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N24" authorId="0">
      <text>
        <r>
          <rPr>
            <b/>
            <sz val="8"/>
            <rFont val="Tahoma"/>
            <family val="2"/>
          </rPr>
          <t>Tesisin şartarına göre imalatçı tarafından belirlenmelidir.</t>
        </r>
      </text>
    </comment>
  </commentList>
</comments>
</file>

<file path=xl/sharedStrings.xml><?xml version="1.0" encoding="utf-8"?>
<sst xmlns="http://schemas.openxmlformats.org/spreadsheetml/2006/main" count="1334" uniqueCount="630">
  <si>
    <t>alınır</t>
  </si>
  <si>
    <r>
      <t>s</t>
    </r>
    <r>
      <rPr>
        <sz val="10"/>
        <rFont val="Times New Roman"/>
        <family val="1"/>
      </rPr>
      <t xml:space="preserve">m =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+</t>
    </r>
    <r>
      <rPr>
        <sz val="10"/>
        <rFont val="Symbol"/>
        <family val="1"/>
      </rPr>
      <t xml:space="preserve"> s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£ s</t>
    </r>
    <r>
      <rPr>
        <vertAlign val="subscript"/>
        <sz val="10"/>
        <rFont val="Times New Roman"/>
        <family val="1"/>
      </rPr>
      <t>zul</t>
    </r>
  </si>
  <si>
    <t>mm (10.1.2.2</t>
  </si>
  <si>
    <t>)=</t>
  </si>
  <si>
    <t>Ağırlık</t>
  </si>
  <si>
    <t>N/m</t>
  </si>
  <si>
    <r>
      <t>F</t>
    </r>
    <r>
      <rPr>
        <vertAlign val="subscript"/>
        <sz val="10"/>
        <rFont val="Times New Roman"/>
        <family val="1"/>
      </rPr>
      <t>ray</t>
    </r>
    <r>
      <rPr>
        <sz val="10"/>
        <rFont val="Times New Roman"/>
        <family val="1"/>
      </rPr>
      <t xml:space="preserve"> = F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+ P</t>
    </r>
    <r>
      <rPr>
        <vertAlign val="subscript"/>
        <sz val="10"/>
        <rFont val="Times New Roman"/>
        <family val="1"/>
      </rPr>
      <t>ray</t>
    </r>
    <r>
      <rPr>
        <sz val="10"/>
        <rFont val="Times New Roman"/>
        <family val="1"/>
      </rPr>
      <t xml:space="preserve"> </t>
    </r>
  </si>
  <si>
    <r>
      <t>d</t>
    </r>
    <r>
      <rPr>
        <b/>
        <vertAlign val="subscript"/>
        <sz val="10"/>
        <rFont val="Times New Roman"/>
        <family val="1"/>
      </rPr>
      <t>r</t>
    </r>
  </si>
  <si>
    <t>Karşı ağırlıkta kullanılan ray tipi</t>
  </si>
  <si>
    <t>Eşik Kuvveti</t>
  </si>
  <si>
    <t>Fs=0,85 x gn x Q</t>
  </si>
  <si>
    <t>Fs=0,40x gn x Q</t>
  </si>
  <si>
    <t>Fs=0,60 x gn x Q</t>
  </si>
  <si>
    <t>İnsan asansörü Q&lt;2500 Kg</t>
  </si>
  <si>
    <t>İnsan asansörü Q&gt;2500 Kg</t>
  </si>
  <si>
    <t>Forklift ile yükleme Q&gt;2500 Kg</t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</si>
  <si>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</si>
  <si>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t>Fs =</t>
  </si>
  <si>
    <t>Kapı kozisyonu</t>
  </si>
  <si>
    <t>İlgili kabin kapısının, x eksenine olan mesafesi (i=1,2,3 veya 4)</t>
  </si>
  <si>
    <t>İlgili kabin kapısının, y eksenine olan mesafesi (i=1,2,3 veya 4)</t>
  </si>
  <si>
    <t>İnsan asansörlerinde</t>
  </si>
  <si>
    <t>Q &lt; 2500 kg ise:</t>
  </si>
  <si>
    <r>
      <t>F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0.4 x g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x Q</t>
    </r>
  </si>
  <si>
    <r>
      <t>F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0.6 x g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x Q</t>
    </r>
  </si>
  <si>
    <t>Forklift ile yüklemede</t>
  </si>
  <si>
    <r>
      <t>F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0.85 x g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x Q</t>
    </r>
  </si>
  <si>
    <t>A =</t>
  </si>
  <si>
    <t>+(</t>
  </si>
  <si>
    <t>)x</t>
  </si>
  <si>
    <t>k2 =</t>
  </si>
  <si>
    <t>)+</t>
  </si>
  <si>
    <t>Normal kullanma, Hareket için güvenlik katsayısı (Çizelge 3)</t>
  </si>
  <si>
    <t>G.7.1.3.4 Ray boyunun eğilmesi</t>
  </si>
  <si>
    <t>G.7.1.3.5 Eğilme miktarı</t>
  </si>
  <si>
    <r>
      <t>y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=</t>
    </r>
  </si>
  <si>
    <r>
      <t>Nmm</t>
    </r>
    <r>
      <rPr>
        <vertAlign val="superscript"/>
        <sz val="10"/>
        <rFont val="Times New Roman"/>
        <family val="1"/>
      </rPr>
      <t>2</t>
    </r>
  </si>
  <si>
    <t>KUYU TABANINI ETKİLEYEN KUVVETLERİN HESAPLANMASI (5.3.2)</t>
  </si>
  <si>
    <t>Kabin kılavuz rayının birim ağırlığı</t>
  </si>
  <si>
    <t>G</t>
  </si>
  <si>
    <t>Ray boyu</t>
  </si>
  <si>
    <r>
      <t>L</t>
    </r>
    <r>
      <rPr>
        <vertAlign val="subscript"/>
        <sz val="10"/>
        <rFont val="Times New Roman"/>
        <family val="1"/>
      </rPr>
      <t>ray</t>
    </r>
  </si>
  <si>
    <r>
      <t>P</t>
    </r>
    <r>
      <rPr>
        <vertAlign val="subscript"/>
        <sz val="10"/>
        <rFont val="Times New Roman"/>
        <family val="1"/>
      </rPr>
      <t>ray</t>
    </r>
    <r>
      <rPr>
        <sz val="10"/>
        <rFont val="Times New Roman"/>
        <family val="1"/>
      </rPr>
      <t xml:space="preserve"> = G</t>
    </r>
    <r>
      <rPr>
        <sz val="9"/>
        <rFont val="Times New Roman"/>
        <family val="1"/>
      </rPr>
      <t>x</t>
    </r>
    <r>
      <rPr>
        <sz val="10"/>
        <rFont val="Times New Roman"/>
        <family val="1"/>
      </rPr>
      <t>L</t>
    </r>
    <r>
      <rPr>
        <vertAlign val="subscript"/>
        <sz val="10"/>
        <rFont val="Times New Roman"/>
        <family val="1"/>
      </rPr>
      <t>ray</t>
    </r>
  </si>
  <si>
    <t>Tampon çalışma kuvvetleri</t>
  </si>
  <si>
    <t>Herbir kabin tamponunun altında (5.3.2.2)</t>
  </si>
  <si>
    <r>
      <t>= 4xg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x(P+Q)</t>
    </r>
  </si>
  <si>
    <r>
      <t>s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+ 0.9x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 xml:space="preserve">m   </t>
    </r>
    <r>
      <rPr>
        <sz val="10"/>
        <rFont val="Symbol"/>
        <family val="1"/>
      </rPr>
      <t>£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zul</t>
    </r>
  </si>
  <si>
    <t>s =</t>
  </si>
  <si>
    <r>
      <t xml:space="preserve"> </t>
    </r>
    <r>
      <rPr>
        <sz val="10"/>
        <rFont val="Symbol"/>
        <family val="1"/>
      </rPr>
      <t>£</t>
    </r>
  </si>
  <si>
    <t>c</t>
  </si>
  <si>
    <t>Boyun genişliği</t>
  </si>
  <si>
    <t>Kesit</t>
  </si>
  <si>
    <r>
      <t xml:space="preserve">a) Üzerinde güvenlik tertibatı çalışan kabin, karşı ağırlık veya dengeleme ağırlığı kılavuz raylarında, </t>
    </r>
    <r>
      <rPr>
        <b/>
        <u val="single"/>
        <sz val="8"/>
        <rFont val="Times New Roman"/>
        <family val="1"/>
      </rPr>
      <t>her iki yönde 5 mm</t>
    </r>
    <r>
      <rPr>
        <sz val="8"/>
        <rFont val="Times New Roman"/>
        <family val="1"/>
      </rPr>
      <t>;</t>
    </r>
  </si>
  <si>
    <r>
      <t xml:space="preserve">b)Üzerinde güvenlik tertibatı çalışmayan kabin, karşı ağırlık veya dengeleme ağırlığı kılavuz raylarında, </t>
    </r>
    <r>
      <rPr>
        <b/>
        <u val="single"/>
        <sz val="8"/>
        <rFont val="Times New Roman"/>
        <family val="1"/>
      </rPr>
      <t>her iki yönde 10 mm</t>
    </r>
    <r>
      <rPr>
        <sz val="8"/>
        <rFont val="Times New Roman"/>
        <family val="1"/>
      </rPr>
      <t>;</t>
    </r>
  </si>
  <si>
    <r>
      <t>d</t>
    </r>
    <r>
      <rPr>
        <sz val="10"/>
        <rFont val="Times New Roman"/>
        <family val="1"/>
      </rPr>
      <t>zul</t>
    </r>
  </si>
  <si>
    <t>mm (10.1.2.2)</t>
  </si>
  <si>
    <t>=21000*9,81</t>
  </si>
  <si>
    <r>
      <t>mm</t>
    </r>
    <r>
      <rPr>
        <vertAlign val="superscript"/>
        <sz val="10"/>
        <rFont val="Times New Roman"/>
        <family val="1"/>
      </rPr>
      <t>4</t>
    </r>
  </si>
  <si>
    <t>--------------------------------------</t>
  </si>
  <si>
    <t xml:space="preserve">x </t>
  </si>
  <si>
    <t>Normal kullanma, Hareket için darbe katsayısı k2 =</t>
  </si>
  <si>
    <t xml:space="preserve"> (Çizelge G.2)</t>
  </si>
  <si>
    <t>-----------------------</t>
  </si>
  <si>
    <t>)]</t>
  </si>
  <si>
    <t>x[</t>
  </si>
  <si>
    <t>x(</t>
  </si>
  <si>
    <t xml:space="preserve">Kullanılan ray için </t>
  </si>
  <si>
    <t>Wx  =</t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</si>
  <si>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= </t>
    </r>
    <r>
      <rPr>
        <i/>
        <sz val="12"/>
        <color indexed="8"/>
        <rFont val="Symbol"/>
        <family val="1"/>
      </rPr>
      <t>s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+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£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zul</t>
    </r>
  </si>
  <si>
    <r>
      <t>Raylara bağlı yardımcı donanım için darbe katsayısı k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</si>
  <si>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t xml:space="preserve"> alınır.</t>
  </si>
  <si>
    <t xml:space="preserve">A = </t>
  </si>
  <si>
    <r>
      <t xml:space="preserve"> mm</t>
    </r>
    <r>
      <rPr>
        <vertAlign val="superscript"/>
        <sz val="10"/>
        <rFont val="Times New Roman"/>
        <family val="1"/>
      </rPr>
      <t>2</t>
    </r>
  </si>
  <si>
    <t>M =</t>
  </si>
  <si>
    <t>)/</t>
  </si>
  <si>
    <t>((</t>
  </si>
  <si>
    <t>Kullanılan ray profilinin ayağı ile başı arasındaki boyun genişliği c =</t>
  </si>
  <si>
    <t>)/(</t>
  </si>
  <si>
    <r>
      <t>Kullanılan ray için I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=</t>
    </r>
  </si>
  <si>
    <t>Tahrik kasnağı çapı</t>
  </si>
  <si>
    <t>Saptırma kasnağı çapı</t>
  </si>
  <si>
    <t>Halat sayısı</t>
  </si>
  <si>
    <t>Halat askı katsayısı</t>
  </si>
  <si>
    <t>r</t>
  </si>
  <si>
    <t>m</t>
  </si>
  <si>
    <t xml:space="preserve">   </t>
  </si>
  <si>
    <t>Tampona çarpma hızı</t>
  </si>
  <si>
    <t>Kg</t>
  </si>
  <si>
    <t>+</t>
  </si>
  <si>
    <t>-</t>
  </si>
  <si>
    <t>*</t>
  </si>
  <si>
    <t>/</t>
  </si>
  <si>
    <t>(</t>
  </si>
  <si>
    <t>)</t>
  </si>
  <si>
    <t>Ani frenlemeli güvenlik tertibatı</t>
  </si>
  <si>
    <t>Ani frenlemeli makaralı güvenlik tertibatı</t>
  </si>
  <si>
    <t>Hareket ederken meydana gelen</t>
  </si>
  <si>
    <t>Kaymalı frenlemeli güvenlik tertibatı</t>
  </si>
  <si>
    <r>
      <t>x</t>
    </r>
    <r>
      <rPr>
        <b/>
        <vertAlign val="subscript"/>
        <sz val="10"/>
        <rFont val="Times New Roman"/>
        <family val="1"/>
      </rPr>
      <t>Q</t>
    </r>
    <r>
      <rPr>
        <b/>
        <sz val="10"/>
        <rFont val="Times New Roman"/>
        <family val="1"/>
      </rPr>
      <t>=</t>
    </r>
  </si>
  <si>
    <t>------------------------------------------------------------------</t>
  </si>
  <si>
    <t>x</t>
  </si>
  <si>
    <r>
      <t>R</t>
    </r>
    <r>
      <rPr>
        <b/>
        <vertAlign val="subscript"/>
        <sz val="10"/>
        <rFont val="Times New Roman"/>
        <family val="1"/>
      </rPr>
      <t>m</t>
    </r>
    <r>
      <rPr>
        <b/>
        <sz val="10"/>
        <rFont val="Times New Roman"/>
        <family val="1"/>
      </rPr>
      <t>=370 N/mm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çekme dayanımlı ray için l’nın fonksiyonu olarak</t>
    </r>
  </si>
  <si>
    <r>
      <t>R</t>
    </r>
    <r>
      <rPr>
        <b/>
        <vertAlign val="subscript"/>
        <sz val="10"/>
        <rFont val="Times New Roman"/>
        <family val="1"/>
      </rPr>
      <t>m</t>
    </r>
    <r>
      <rPr>
        <b/>
        <sz val="10"/>
        <rFont val="Times New Roman"/>
        <family val="1"/>
      </rPr>
      <t>=520 N/mm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çekme dayanımlı ray için l’nın fonksiyonu olarak</t>
    </r>
  </si>
  <si>
    <r>
      <t xml:space="preserve"> = izin verilen gerilme (N/mm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</si>
  <si>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r>
      <t>S</t>
    </r>
    <r>
      <rPr>
        <i/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</t>
    </r>
  </si>
  <si>
    <t>=370/ 3</t>
  </si>
  <si>
    <t>N/mm2</t>
  </si>
  <si>
    <r>
      <t>s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 xml:space="preserve"> =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+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£</t>
    </r>
    <r>
      <rPr>
        <sz val="10"/>
        <rFont val="Times New Roman"/>
        <family val="1"/>
      </rPr>
      <t xml:space="preserve"> </t>
    </r>
    <r>
      <rPr>
        <sz val="10"/>
        <rFont val="Symbol"/>
        <family val="1"/>
      </rPr>
      <t>s</t>
    </r>
    <r>
      <rPr>
        <vertAlign val="subscript"/>
        <sz val="10"/>
        <rFont val="Times New Roman"/>
        <family val="1"/>
      </rPr>
      <t>zul</t>
    </r>
  </si>
  <si>
    <r>
      <t>s</t>
    </r>
    <r>
      <rPr>
        <vertAlign val="subscript"/>
        <sz val="10"/>
        <rFont val="Times New Roman"/>
        <family val="1"/>
      </rPr>
      <t>m</t>
    </r>
  </si>
  <si>
    <t>--------------------</t>
  </si>
  <si>
    <t>A</t>
  </si>
  <si>
    <r>
      <t>F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+ k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. M</t>
    </r>
  </si>
  <si>
    <t>Q ³ 2500 kg ise:</t>
  </si>
  <si>
    <t>N</t>
  </si>
  <si>
    <t>----------------------</t>
  </si>
  <si>
    <t>Nmm</t>
  </si>
  <si>
    <t>FRENLEME TİPLERİ</t>
  </si>
  <si>
    <t>RAY TİPİ</t>
  </si>
  <si>
    <t>50*50*5</t>
  </si>
  <si>
    <t>65*54*8</t>
  </si>
  <si>
    <t>70*65*9</t>
  </si>
  <si>
    <t>75*62*10</t>
  </si>
  <si>
    <t>89*62*16</t>
  </si>
  <si>
    <t>90*75*16</t>
  </si>
  <si>
    <t>125*82*16</t>
  </si>
  <si>
    <t>127*89*16</t>
  </si>
  <si>
    <t>Ix-x</t>
  </si>
  <si>
    <t>Iy-y</t>
  </si>
  <si>
    <t>Wx_x</t>
  </si>
  <si>
    <t>Wy-y</t>
  </si>
  <si>
    <r>
      <t>mm</t>
    </r>
    <r>
      <rPr>
        <vertAlign val="superscript"/>
        <sz val="10"/>
        <rFont val="Times New Roman"/>
        <family val="1"/>
      </rPr>
      <t>3</t>
    </r>
  </si>
  <si>
    <t>----------</t>
  </si>
  <si>
    <r>
      <t>N/mm</t>
    </r>
    <r>
      <rPr>
        <vertAlign val="superscript"/>
        <sz val="10"/>
        <rFont val="Times New Roman"/>
        <family val="1"/>
      </rPr>
      <t>2</t>
    </r>
  </si>
  <si>
    <t>L</t>
  </si>
  <si>
    <t>----------------------------------------</t>
  </si>
  <si>
    <t>S</t>
  </si>
  <si>
    <t>cm2</t>
  </si>
  <si>
    <t>ix-x</t>
  </si>
  <si>
    <t>iy-y</t>
  </si>
  <si>
    <t>cm</t>
  </si>
  <si>
    <t>cm4</t>
  </si>
  <si>
    <t>cm3</t>
  </si>
  <si>
    <t xml:space="preserve"> λ  </t>
  </si>
  <si>
    <r>
      <t xml:space="preserve"> </t>
    </r>
    <r>
      <rPr>
        <sz val="10"/>
        <color indexed="8"/>
        <rFont val="Times New Roman"/>
        <family val="1"/>
      </rPr>
      <t xml:space="preserve">1,04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</si>
  <si>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1,05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</si>
  <si>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1,06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</si>
  <si>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1,07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</si>
  <si>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1,08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</si>
  <si>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1,09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</si>
  <si>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</si>
  <si>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</si>
  <si>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</si>
  <si>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</si>
  <si>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</si>
  <si>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</si>
  <si>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</si>
  <si>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</si>
  <si>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</si>
  <si>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1,19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</si>
  <si>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</si>
  <si>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</si>
  <si>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</si>
  <si>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</si>
  <si>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</si>
  <si>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</si>
  <si>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</si>
  <si>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</si>
  <si>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</si>
  <si>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1,29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</si>
  <si>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</si>
  <si>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</si>
  <si>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</si>
  <si>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</si>
  <si>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</si>
  <si>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</si>
  <si>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</si>
  <si>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</si>
  <si>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1,39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</si>
  <si>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</si>
  <si>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</si>
  <si>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</si>
  <si>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</si>
  <si>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</si>
  <si>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</si>
  <si>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</si>
  <si>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1,49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</si>
  <si>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</si>
  <si>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</si>
  <si>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</si>
  <si>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</si>
  <si>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</si>
  <si>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</si>
  <si>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1,59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</si>
  <si>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1,61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</si>
  <si>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1,62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</si>
  <si>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1,64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</si>
  <si>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1,66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</si>
  <si>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1,68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</si>
  <si>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1,69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</si>
  <si>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1,71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</si>
  <si>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1,73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</si>
  <si>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1,74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</si>
  <si>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1,76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</si>
  <si>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1,78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</si>
  <si>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1,80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</si>
  <si>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1,82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</si>
  <si>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1,84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</si>
  <si>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1,86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</si>
  <si>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1,88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</si>
  <si>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1,90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</si>
  <si>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1,92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</si>
  <si>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1,94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</si>
  <si>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1,96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</si>
  <si>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1,98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</si>
  <si>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2,00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</si>
  <si>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2,02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</si>
  <si>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2,05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</si>
  <si>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2,07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</si>
  <si>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2,09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</si>
  <si>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2,11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</si>
  <si>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2,14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</si>
  <si>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2,16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</si>
  <si>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2,18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</si>
  <si>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2,21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</si>
  <si>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2,23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</si>
  <si>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2,27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</si>
  <si>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2,31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</si>
  <si>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2,35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</si>
  <si>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2,39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</si>
  <si>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2,43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</si>
  <si>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2,47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</si>
  <si>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2,51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</si>
  <si>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2,55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</si>
  <si>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2,60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</si>
  <si>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2,64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</si>
  <si>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2,68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</si>
  <si>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2,72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</si>
  <si>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2,77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</si>
  <si>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2,81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</si>
  <si>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2,85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</si>
  <si>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2,90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</si>
  <si>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2,94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</si>
  <si>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2,99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</si>
  <si>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3,03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</si>
  <si>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3,08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</si>
  <si>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3,12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</si>
  <si>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3,17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</si>
  <si>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3,22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</si>
  <si>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3,26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</si>
  <si>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3,31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</si>
  <si>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3,36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</si>
  <si>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3,41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</si>
  <si>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3,45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</si>
  <si>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3,50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</si>
  <si>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3,55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</si>
  <si>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3,60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</si>
  <si>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3,65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</si>
  <si>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3,70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</si>
  <si>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3,75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</si>
  <si>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3,80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</si>
  <si>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3,85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</si>
  <si>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3,90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</si>
  <si>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3,95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</si>
  <si>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4,00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</si>
  <si>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4,06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</si>
  <si>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4,11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</si>
  <si>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4,16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</si>
  <si>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4,22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</si>
  <si>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4,27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</si>
  <si>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4,32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</si>
  <si>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4,38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</si>
  <si>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4,43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</si>
  <si>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4,49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</si>
  <si>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4,54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</si>
  <si>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4,60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</si>
  <si>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4,65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</si>
  <si>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4,71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</si>
  <si>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4,77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</si>
  <si>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4,82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</si>
  <si>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4,88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</si>
  <si>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4,94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</si>
  <si>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5,00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</si>
  <si>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5,05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</si>
  <si>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5,11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</si>
  <si>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5,17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</si>
  <si>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5,23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</si>
  <si>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5,29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</si>
  <si>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5,35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</si>
  <si>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5,41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</si>
  <si>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5,47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</si>
  <si>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5,53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</si>
  <si>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5,59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</si>
  <si>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5,66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</si>
  <si>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5,72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</si>
  <si>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5,78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</si>
  <si>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5,84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</si>
  <si>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5,91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</si>
  <si>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5,97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</si>
  <si>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6,03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</si>
  <si>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6,10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</si>
  <si>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6,16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</si>
  <si>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6,23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</si>
  <si>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6,29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</si>
  <si>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6,36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</si>
  <si>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6,42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</si>
  <si>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6,49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</si>
  <si>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6,55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</si>
  <si>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6,62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</si>
  <si>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6,69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</si>
  <si>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6,75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</si>
  <si>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6,82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</si>
  <si>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6,89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</si>
  <si>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6,96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</si>
  <si>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7,03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</si>
  <si>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7,10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</si>
  <si>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7,17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</si>
  <si>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7,24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</si>
  <si>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7,31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</si>
  <si>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7,38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</si>
  <si>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7,45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</si>
  <si>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7,52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</si>
  <si>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7,59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</si>
  <si>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7,66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</si>
  <si>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7,73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</si>
  <si>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7,81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</si>
  <si>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7,88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</si>
  <si>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7,95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</si>
  <si>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8,03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</si>
  <si>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8,10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</si>
  <si>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8,17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</si>
  <si>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8,25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</si>
  <si>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8,32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</si>
  <si>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8,40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</si>
  <si>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8,47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</si>
  <si>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8,55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</si>
  <si>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8,63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</si>
  <si>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8,70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</si>
  <si>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8,78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</si>
  <si>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8,86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</si>
  <si>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8,93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</si>
  <si>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9,01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</si>
  <si>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9,09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</si>
  <si>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9,17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</si>
  <si>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9,25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</si>
  <si>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9,33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</si>
  <si>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9,41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</si>
  <si>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9,49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</si>
  <si>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9,57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</si>
  <si>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9,65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</si>
  <si>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9,73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</si>
  <si>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9,81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</si>
  <si>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9,89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</si>
  <si>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9,97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</si>
  <si>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10,05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</si>
  <si>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10,14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</si>
  <si>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10,22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</si>
  <si>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10,30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</si>
  <si>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10,39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</si>
  <si>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10,47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</si>
  <si>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10,55 </t>
    </r>
    <r>
      <rPr>
        <sz val="10"/>
        <rFont val="Times New Roman"/>
        <family val="1"/>
      </rPr>
      <t xml:space="preserve"> </t>
    </r>
  </si>
  <si>
    <t>(Çizelge G.3)</t>
  </si>
  <si>
    <t>(Çizelge G.4)</t>
  </si>
  <si>
    <t>ile</t>
  </si>
  <si>
    <r>
      <t>R</t>
    </r>
    <r>
      <rPr>
        <vertAlign val="subscript"/>
        <sz val="8"/>
        <rFont val="Times New Roman"/>
        <family val="1"/>
      </rPr>
      <t>m =</t>
    </r>
  </si>
  <si>
    <r>
      <t xml:space="preserve"> 520 N/mm</t>
    </r>
    <r>
      <rPr>
        <vertAlign val="superscript"/>
        <sz val="8"/>
        <rFont val="Times New Roman"/>
        <family val="1"/>
      </rPr>
      <t>2</t>
    </r>
  </si>
  <si>
    <r>
      <t>R</t>
    </r>
    <r>
      <rPr>
        <vertAlign val="subscript"/>
        <sz val="8"/>
        <rFont val="Times New Roman"/>
        <family val="1"/>
      </rPr>
      <t>m</t>
    </r>
  </si>
  <si>
    <r>
      <t>=  370 N/mm</t>
    </r>
    <r>
      <rPr>
        <vertAlign val="superscript"/>
        <sz val="8"/>
        <rFont val="Times New Roman"/>
        <family val="1"/>
      </rPr>
      <t>2</t>
    </r>
  </si>
  <si>
    <t>arasındaki çekme dayanımlı çelikler için "omega" değerleri</t>
  </si>
  <si>
    <t xml:space="preserve"> aşağıdaki formül kullanılarak hesaplanır.</t>
  </si>
  <si>
    <t>A=</t>
  </si>
  <si>
    <r>
      <t>mm</t>
    </r>
    <r>
      <rPr>
        <vertAlign val="superscript"/>
        <sz val="10"/>
        <rFont val="Times New Roman"/>
        <family val="1"/>
      </rPr>
      <t>2</t>
    </r>
  </si>
  <si>
    <t>M=</t>
  </si>
  <si>
    <t>Raylara bağlı yardımcı donanım için darbe katsayısı</t>
  </si>
  <si>
    <t>k3=</t>
  </si>
  <si>
    <t>------------</t>
  </si>
  <si>
    <t>KABİN RAYLARININ HESAPLANMASI (EK-G)</t>
  </si>
  <si>
    <t xml:space="preserve"> </t>
  </si>
  <si>
    <t>Çizelge:</t>
  </si>
  <si>
    <t>G2</t>
  </si>
  <si>
    <t>Darbe Katsayıları</t>
  </si>
  <si>
    <t>Darbe</t>
  </si>
  <si>
    <t>Değer</t>
  </si>
  <si>
    <t>k1</t>
  </si>
  <si>
    <t>ani frenlemelikenetleme tertibatının (makaralı tip hariç)</t>
  </si>
  <si>
    <t>çalışmasıyla meydana gelen</t>
  </si>
  <si>
    <t>ani frenlemeli makaralı kenetleme tertibatının çalışmasıyle</t>
  </si>
  <si>
    <t>veya enerji depolayan tipteki oturma tertibatında</t>
  </si>
  <si>
    <t>veya enerji depolayan tipteki tamponda meydana gelen</t>
  </si>
  <si>
    <t>veya kaymalı kenetleme tertibatının çalışmasıyle</t>
  </si>
  <si>
    <t>veya enerji harcayan tipteki oturma tertibatında</t>
  </si>
  <si>
    <t>Boru kırılma vanasının çalışmasıyle meydana gelen</t>
  </si>
  <si>
    <t>k2</t>
  </si>
  <si>
    <t>Yardımcı donanımda meydana gelen</t>
  </si>
  <si>
    <t>k3</t>
  </si>
  <si>
    <t>….</t>
  </si>
  <si>
    <t>Darbe Katsayısı</t>
  </si>
  <si>
    <t>Asansör Sahibi</t>
  </si>
  <si>
    <t>Adresi</t>
  </si>
  <si>
    <t>Kurulacağı Yer</t>
  </si>
  <si>
    <t>Marka ve Tesisat No</t>
  </si>
  <si>
    <t>Tarih</t>
  </si>
  <si>
    <t>Kabin ve aksesuarlarının kütlesi</t>
  </si>
  <si>
    <t>P</t>
  </si>
  <si>
    <t>Beyan Yükü</t>
  </si>
  <si>
    <t>Konsol Mesafesi</t>
  </si>
  <si>
    <t>Kabin kılavuz  patenleri arasındaki mesafe</t>
  </si>
  <si>
    <t>Güvenlik Tertibatı Tipi</t>
  </si>
  <si>
    <t>X – yönündeki kabin boyutu, kabin derinliği</t>
  </si>
  <si>
    <t>Y – yönündeki kabin boyutu, kabin genişliği</t>
  </si>
  <si>
    <t>Beyan Hızı</t>
  </si>
  <si>
    <t>Ray Boyu</t>
  </si>
  <si>
    <t>Raylara bağlı   yardımcı donanım kütlesi</t>
  </si>
  <si>
    <t>Kabin merkezinin (C) ,x eksenine olan mesafesi</t>
  </si>
  <si>
    <t>Kabin merkezinin (C) ,y eksenine olan mesafesi</t>
  </si>
  <si>
    <t>Askı noktasının  (S) ,x eksenine olan mesafesi</t>
  </si>
  <si>
    <t>Askı noktasının  (S) ,y eksenine olan mesafesi</t>
  </si>
  <si>
    <t>Boş kabin ağırlık merkezinin x eksenine olan mesafesi</t>
  </si>
  <si>
    <t>Boş kabin ağırlık merkezinin y eksenine olan mesafesi</t>
  </si>
  <si>
    <t>Kapı pozisyonu</t>
  </si>
  <si>
    <t xml:space="preserve">i   </t>
  </si>
  <si>
    <t>Kılavuz rayların sayısı</t>
  </si>
  <si>
    <t xml:space="preserve">n  </t>
  </si>
  <si>
    <t>Kabinde kullanılan ray tipi</t>
  </si>
  <si>
    <t>:</t>
  </si>
  <si>
    <t>=</t>
  </si>
  <si>
    <t>Kg.</t>
  </si>
  <si>
    <t>mm</t>
  </si>
  <si>
    <t>Dx</t>
  </si>
  <si>
    <t>Dy</t>
  </si>
  <si>
    <t>M</t>
  </si>
  <si>
    <t>Q</t>
  </si>
  <si>
    <t>h</t>
  </si>
  <si>
    <t>V</t>
  </si>
  <si>
    <t>Mt</t>
  </si>
  <si>
    <t>m/s</t>
  </si>
  <si>
    <r>
      <t>L</t>
    </r>
    <r>
      <rPr>
        <b/>
        <vertAlign val="subscript"/>
        <sz val="10"/>
        <rFont val="Times New Roman"/>
        <family val="1"/>
      </rPr>
      <t>ray</t>
    </r>
    <r>
      <rPr>
        <b/>
        <sz val="10"/>
        <rFont val="Times New Roman"/>
        <family val="1"/>
      </rPr>
      <t xml:space="preserve"> </t>
    </r>
  </si>
  <si>
    <r>
      <t>x</t>
    </r>
    <r>
      <rPr>
        <b/>
        <vertAlign val="subscript"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  </t>
    </r>
  </si>
  <si>
    <r>
      <t>y</t>
    </r>
    <r>
      <rPr>
        <b/>
        <vertAlign val="subscript"/>
        <sz val="10"/>
        <rFont val="Times New Roman"/>
        <family val="1"/>
      </rPr>
      <t>c</t>
    </r>
    <r>
      <rPr>
        <b/>
        <sz val="10"/>
        <rFont val="Times New Roman"/>
        <family val="1"/>
      </rPr>
      <t xml:space="preserve">  </t>
    </r>
  </si>
  <si>
    <r>
      <t>x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 </t>
    </r>
  </si>
  <si>
    <r>
      <t>y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 </t>
    </r>
  </si>
  <si>
    <r>
      <t>x</t>
    </r>
    <r>
      <rPr>
        <b/>
        <vertAlign val="sub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 </t>
    </r>
  </si>
  <si>
    <r>
      <t>y</t>
    </r>
    <r>
      <rPr>
        <b/>
        <vertAlign val="sub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 </t>
    </r>
  </si>
  <si>
    <t>Beyan yükü ağırlık merkezinin kılavuz ray sisteminin  ilgili eksenlerine olan mesafeleri</t>
  </si>
  <si>
    <t>Kaymalı Frenlemeli güvenlik tertibatında  darbe katsayısı</t>
  </si>
  <si>
    <t>Çizelge G.2</t>
  </si>
  <si>
    <t>Kullanılan ray için en küçük eylemsizlik yarıçapı</t>
  </si>
  <si>
    <t>i</t>
  </si>
  <si>
    <t>Bükülme uzunluğu</t>
  </si>
  <si>
    <r>
      <t>l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>=l</t>
    </r>
  </si>
  <si>
    <r>
      <t>v</t>
    </r>
    <r>
      <rPr>
        <vertAlign val="subscript"/>
        <sz val="10"/>
        <rFont val="Times New Roman"/>
        <family val="1"/>
      </rPr>
      <t>370</t>
    </r>
    <r>
      <rPr>
        <sz val="10"/>
        <rFont val="Times New Roman"/>
        <family val="1"/>
      </rPr>
      <t xml:space="preserve"> </t>
    </r>
  </si>
  <si>
    <r>
      <t>v</t>
    </r>
    <r>
      <rPr>
        <vertAlign val="subscript"/>
        <sz val="10"/>
        <rFont val="Times New Roman"/>
        <family val="1"/>
      </rPr>
      <t>520</t>
    </r>
    <r>
      <rPr>
        <sz val="10"/>
        <rFont val="Times New Roman"/>
        <family val="1"/>
      </rPr>
      <t xml:space="preserve"> </t>
    </r>
  </si>
  <si>
    <t>Kullanılan rayın çekme dayanımı</t>
  </si>
  <si>
    <r>
      <t>R</t>
    </r>
    <r>
      <rPr>
        <vertAlign val="subscript"/>
        <sz val="10"/>
        <rFont val="Times New Roman"/>
        <family val="1"/>
      </rPr>
      <t>m</t>
    </r>
  </si>
  <si>
    <t>Kullanılan rayın kesit alanı</t>
  </si>
  <si>
    <t>Raylara bağlı yardımcı donanım ağırlığı</t>
  </si>
  <si>
    <r>
      <t>Narinlik katsayısı “</t>
    </r>
    <r>
      <rPr>
        <sz val="10"/>
        <rFont val="Times New Roman"/>
        <family val="1"/>
      </rPr>
      <t>Slenderness</t>
    </r>
    <r>
      <rPr>
        <b/>
        <sz val="10"/>
        <rFont val="Times New Roman"/>
        <family val="1"/>
      </rPr>
      <t xml:space="preserve">”= </t>
    </r>
  </si>
  <si>
    <t>Güvenlik tertibatının çalışmasında güvenlik katsayısı (Çizelge 3)</t>
  </si>
  <si>
    <t>Aşağıdaki doğrulamalar yapılmalıdır:</t>
  </si>
  <si>
    <t>£</t>
  </si>
  <si>
    <t>Esneklik modülü</t>
  </si>
  <si>
    <t>E</t>
  </si>
  <si>
    <t>Kullanılan ray için</t>
  </si>
  <si>
    <r>
      <t>I</t>
    </r>
    <r>
      <rPr>
        <vertAlign val="subscript"/>
        <sz val="10"/>
        <rFont val="Times New Roman"/>
        <family val="1"/>
      </rPr>
      <t>y</t>
    </r>
  </si>
  <si>
    <r>
      <t>10.1.2.2 -</t>
    </r>
    <r>
      <rPr>
        <sz val="10"/>
        <rFont val="Times New Roman"/>
        <family val="1"/>
      </rPr>
      <t xml:space="preserve"> T-Profilli kılavuz raylar için hesaplanan en büyük izin verilen eğilme miktarları:</t>
    </r>
  </si>
  <si>
    <r>
      <t>I</t>
    </r>
    <r>
      <rPr>
        <vertAlign val="subscript"/>
        <sz val="10"/>
        <rFont val="Times New Roman"/>
        <family val="1"/>
      </rPr>
      <t>x</t>
    </r>
  </si>
  <si>
    <t>Normal kullanma, hareket için güvenlik katsayısı (Çizelge 3)</t>
  </si>
  <si>
    <t xml:space="preserve">İzin verilen gerilme </t>
  </si>
  <si>
    <t xml:space="preserve">Normal kullanma, Hareket için darbe katsayısı </t>
  </si>
  <si>
    <r>
      <t>Kullanılan ray için W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 =</t>
    </r>
  </si>
  <si>
    <t>V Kanallar</t>
  </si>
  <si>
    <r>
      <t xml:space="preserve">Kanal Açısı </t>
    </r>
    <r>
      <rPr>
        <sz val="10"/>
        <rFont val="Symbol"/>
        <family val="1"/>
      </rPr>
      <t>g</t>
    </r>
  </si>
  <si>
    <r>
      <t>N</t>
    </r>
    <r>
      <rPr>
        <vertAlign val="subscript"/>
        <sz val="10"/>
        <rFont val="Times New Roman"/>
        <family val="1"/>
      </rPr>
      <t>equiv(t)</t>
    </r>
  </si>
  <si>
    <t>Altı kesik yarım daire altı kesik V-kanallar</t>
  </si>
  <si>
    <r>
      <t xml:space="preserve">alt kesilme açısı </t>
    </r>
    <r>
      <rPr>
        <sz val="10"/>
        <rFont val="Symbol"/>
        <family val="1"/>
      </rPr>
      <t>b</t>
    </r>
  </si>
  <si>
    <t>----</t>
  </si>
  <si>
    <r>
      <t>35</t>
    </r>
    <r>
      <rPr>
        <vertAlign val="superscript"/>
        <sz val="10"/>
        <rFont val="Times New Roman"/>
        <family val="1"/>
      </rPr>
      <t>o</t>
    </r>
  </si>
  <si>
    <r>
      <t>36</t>
    </r>
    <r>
      <rPr>
        <vertAlign val="superscript"/>
        <sz val="10"/>
        <rFont val="Times New Roman"/>
        <family val="1"/>
      </rPr>
      <t>o</t>
    </r>
  </si>
  <si>
    <r>
      <t>38</t>
    </r>
    <r>
      <rPr>
        <vertAlign val="superscript"/>
        <sz val="10"/>
        <rFont val="Times New Roman"/>
        <family val="1"/>
      </rPr>
      <t>o</t>
    </r>
  </si>
  <si>
    <r>
      <t>40</t>
    </r>
    <r>
      <rPr>
        <vertAlign val="superscript"/>
        <sz val="10"/>
        <rFont val="Times New Roman"/>
        <family val="1"/>
      </rPr>
      <t>o</t>
    </r>
  </si>
  <si>
    <r>
      <t>42</t>
    </r>
    <r>
      <rPr>
        <vertAlign val="superscript"/>
        <sz val="10"/>
        <rFont val="Times New Roman"/>
        <family val="1"/>
      </rPr>
      <t>o</t>
    </r>
  </si>
  <si>
    <r>
      <t>45</t>
    </r>
    <r>
      <rPr>
        <vertAlign val="superscript"/>
        <sz val="10"/>
        <rFont val="Times New Roman"/>
        <family val="1"/>
      </rPr>
      <t>o</t>
    </r>
  </si>
  <si>
    <r>
      <t>75</t>
    </r>
    <r>
      <rPr>
        <vertAlign val="superscript"/>
        <sz val="10"/>
        <rFont val="Times New Roman"/>
        <family val="1"/>
      </rPr>
      <t>o</t>
    </r>
  </si>
  <si>
    <r>
      <t>80</t>
    </r>
    <r>
      <rPr>
        <vertAlign val="superscript"/>
        <sz val="10"/>
        <rFont val="Times New Roman"/>
        <family val="1"/>
      </rPr>
      <t>o</t>
    </r>
  </si>
  <si>
    <r>
      <t>85</t>
    </r>
    <r>
      <rPr>
        <vertAlign val="superscript"/>
        <sz val="10"/>
        <rFont val="Times New Roman"/>
        <family val="1"/>
      </rPr>
      <t>o</t>
    </r>
  </si>
  <si>
    <r>
      <t>90</t>
    </r>
    <r>
      <rPr>
        <vertAlign val="superscript"/>
        <sz val="10"/>
        <rFont val="Times New Roman"/>
        <family val="1"/>
      </rPr>
      <t>o</t>
    </r>
  </si>
  <si>
    <r>
      <t>95</t>
    </r>
    <r>
      <rPr>
        <vertAlign val="superscript"/>
        <sz val="10"/>
        <rFont val="Times New Roman"/>
        <family val="1"/>
      </rPr>
      <t>o</t>
    </r>
  </si>
  <si>
    <r>
      <t>100</t>
    </r>
    <r>
      <rPr>
        <vertAlign val="superscript"/>
        <sz val="10"/>
        <rFont val="Times New Roman"/>
        <family val="1"/>
      </rPr>
      <t>o</t>
    </r>
  </si>
  <si>
    <r>
      <t>105</t>
    </r>
    <r>
      <rPr>
        <vertAlign val="superscript"/>
        <sz val="10"/>
        <rFont val="Times New Roman"/>
        <family val="1"/>
      </rPr>
      <t>o</t>
    </r>
  </si>
  <si>
    <t>Not:</t>
  </si>
  <si>
    <t xml:space="preserve">Altı kesik olmayan yarım daire kanallarda </t>
  </si>
  <si>
    <r>
      <t>N</t>
    </r>
    <r>
      <rPr>
        <b/>
        <vertAlign val="subscript"/>
        <sz val="10"/>
        <rFont val="Times New Roman"/>
        <family val="1"/>
      </rPr>
      <t>equiv(t) 'nin Hesaplanması</t>
    </r>
  </si>
  <si>
    <r>
      <t>D</t>
    </r>
    <r>
      <rPr>
        <b/>
        <vertAlign val="subscript"/>
        <sz val="10"/>
        <rFont val="Times New Roman"/>
        <family val="1"/>
      </rPr>
      <t>t</t>
    </r>
  </si>
  <si>
    <r>
      <t>D</t>
    </r>
    <r>
      <rPr>
        <b/>
        <vertAlign val="subscript"/>
        <sz val="10"/>
        <rFont val="Times New Roman"/>
        <family val="1"/>
      </rPr>
      <t>p</t>
    </r>
  </si>
  <si>
    <t>Halat bağlantı tijinin çapı</t>
  </si>
  <si>
    <r>
      <t>n</t>
    </r>
    <r>
      <rPr>
        <b/>
        <vertAlign val="subscript"/>
        <sz val="10"/>
        <rFont val="Times New Roman"/>
        <family val="1"/>
      </rPr>
      <t>r</t>
    </r>
  </si>
  <si>
    <t>ASANSÖR VERİLERİ :</t>
  </si>
  <si>
    <t xml:space="preserve">Durum 1:x-ekseni </t>
  </si>
  <si>
    <t>G.7.1.1 - Güvenlik tertibatı çalışması</t>
  </si>
  <si>
    <r>
      <t>G.7.1.1.1-E</t>
    </r>
    <r>
      <rPr>
        <b/>
        <u val="single"/>
        <sz val="10"/>
        <rFont val="Times New Roman"/>
        <family val="1"/>
      </rPr>
      <t>ğilme gerilmesi</t>
    </r>
  </si>
  <si>
    <r>
      <t>Kullanılan ray için W</t>
    </r>
    <r>
      <rPr>
        <b/>
        <vertAlign val="subscript"/>
        <sz val="10"/>
        <rFont val="Times New Roman"/>
        <family val="1"/>
      </rPr>
      <t>y</t>
    </r>
    <r>
      <rPr>
        <b/>
        <sz val="10"/>
        <rFont val="Times New Roman"/>
        <family val="1"/>
      </rPr>
      <t xml:space="preserve"> (mm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)  </t>
    </r>
    <r>
      <rPr>
        <b/>
        <sz val="10"/>
        <rFont val="Times New Roman"/>
        <family val="1"/>
      </rPr>
      <t xml:space="preserve"> = </t>
    </r>
  </si>
  <si>
    <r>
      <t>Kullanılan ray için W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 xml:space="preserve"> (mm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) </t>
    </r>
    <r>
      <rPr>
        <b/>
        <sz val="10"/>
        <rFont val="Times New Roman"/>
        <family val="1"/>
      </rPr>
      <t>=</t>
    </r>
  </si>
  <si>
    <t>G.7.1.1.2- Bükülme</t>
  </si>
  <si>
    <t>G.7.1.1.3 Birleşik gerilme</t>
  </si>
  <si>
    <r>
      <t xml:space="preserve">  = uzama sınırı (N/mm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</si>
  <si>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 xml:space="preserve">  = güvenlik katsayısı</t>
  </si>
  <si>
    <t>İzin verilen gerilme</t>
  </si>
  <si>
    <t>G.7.1.1.4 Ray boyunun eğilmesi</t>
  </si>
  <si>
    <t>G.7.1.1.5 Eğilme miktarı</t>
  </si>
  <si>
    <t xml:space="preserve">G.7.1.2 Normal kullanma, hareket </t>
  </si>
  <si>
    <t>G.7.1.2.1 Eğilme gerilme</t>
  </si>
  <si>
    <r>
      <t>Kullanılan ray için W</t>
    </r>
    <r>
      <rPr>
        <vertAlign val="subscript"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(mm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=</t>
    </r>
  </si>
  <si>
    <t xml:space="preserve">G.7.1.2.2 – Bükülme </t>
  </si>
  <si>
    <t xml:space="preserve">G.7.1.2.3 Birleşik gerilme </t>
  </si>
  <si>
    <t xml:space="preserve">G.7.1.2.4 Ray boyunun eğilmesi </t>
  </si>
  <si>
    <t xml:space="preserve">G.7.1.2.5 Eğilme miktarı </t>
  </si>
  <si>
    <t>Durum 2: y-ekseni</t>
  </si>
  <si>
    <t xml:space="preserve">G.7.1.3 Normal kullanma, Yükleme </t>
  </si>
  <si>
    <t xml:space="preserve">G.7.1.3.1Eğilme gerilmesi </t>
  </si>
  <si>
    <t xml:space="preserve">G.7.1.3.3 Birleşik gerilme </t>
  </si>
  <si>
    <t xml:space="preserve">Güvenlik tertibatının çalışması </t>
  </si>
  <si>
    <t xml:space="preserve">Kılavuz ray ağırlığı </t>
  </si>
  <si>
    <t xml:space="preserve">Her ray tabanına gelen düşey kuvvet </t>
  </si>
  <si>
    <t>Askı Halatı çapı</t>
  </si>
  <si>
    <t>-----------------------------------</t>
  </si>
  <si>
    <t>(Q yükünün X ekseninde 3/4 oranında eşitsiz dağılımı.)</t>
  </si>
  <si>
    <t>-----</t>
  </si>
  <si>
    <r>
      <t>Y</t>
    </r>
    <r>
      <rPr>
        <vertAlign val="subscript"/>
        <sz val="10"/>
        <rFont val="Times New Roman"/>
        <family val="1"/>
      </rPr>
      <t>Q</t>
    </r>
  </si>
  <si>
    <r>
      <t>D</t>
    </r>
    <r>
      <rPr>
        <vertAlign val="subscript"/>
        <sz val="10"/>
        <rFont val="Times New Roman"/>
        <family val="1"/>
      </rPr>
      <t>Y</t>
    </r>
  </si>
  <si>
    <t>EN 81-2’e GÖRE ASANSÖR HESAPLARI</t>
  </si>
  <si>
    <r>
      <t>x</t>
    </r>
    <r>
      <rPr>
        <b/>
        <vertAlign val="subscript"/>
        <sz val="10"/>
        <rFont val="Times New Roman"/>
        <family val="1"/>
      </rPr>
      <t>Q</t>
    </r>
    <r>
      <rPr>
        <b/>
        <sz val="10"/>
        <rFont val="Times New Roman"/>
        <family val="1"/>
      </rPr>
      <t>, y</t>
    </r>
    <r>
      <rPr>
        <b/>
        <vertAlign val="subscript"/>
        <sz val="10"/>
        <rFont val="Times New Roman"/>
        <family val="1"/>
      </rPr>
      <t>Q</t>
    </r>
  </si>
  <si>
    <r>
      <t>y</t>
    </r>
    <r>
      <rPr>
        <vertAlign val="subscript"/>
        <sz val="10"/>
        <rFont val="Times New Roman"/>
        <family val="1"/>
      </rPr>
      <t xml:space="preserve">Q </t>
    </r>
    <r>
      <rPr>
        <sz val="10"/>
        <rFont val="Times New Roman"/>
        <family val="1"/>
      </rPr>
      <t>=</t>
    </r>
  </si>
  <si>
    <r>
      <t>s</t>
    </r>
    <r>
      <rPr>
        <vertAlign val="subscript"/>
        <sz val="10"/>
        <rFont val="Times New Roman"/>
        <family val="1"/>
      </rPr>
      <t>x</t>
    </r>
  </si>
  <si>
    <r>
      <t>s</t>
    </r>
    <r>
      <rPr>
        <vertAlign val="subscript"/>
        <sz val="10"/>
        <rFont val="Times New Roman"/>
        <family val="1"/>
      </rPr>
      <t>y</t>
    </r>
  </si>
  <si>
    <t>(Q yükünün Y ekseninde 3/4 oranında eşitsiz dağılımı.)</t>
  </si>
  <si>
    <r>
      <t>X</t>
    </r>
    <r>
      <rPr>
        <vertAlign val="subscript"/>
        <sz val="10"/>
        <rFont val="Times New Roman"/>
        <family val="1"/>
      </rPr>
      <t xml:space="preserve">Q </t>
    </r>
    <r>
      <rPr>
        <sz val="10"/>
        <rFont val="Times New Roman"/>
        <family val="1"/>
      </rPr>
      <t>= X</t>
    </r>
    <r>
      <rPr>
        <vertAlign val="subscript"/>
        <sz val="10"/>
        <rFont val="Times New Roman"/>
        <family val="1"/>
      </rPr>
      <t>C</t>
    </r>
  </si>
  <si>
    <r>
      <t>y</t>
    </r>
    <r>
      <rPr>
        <vertAlign val="subscript"/>
        <sz val="10"/>
        <rFont val="Times New Roman"/>
        <family val="1"/>
      </rPr>
      <t>Q</t>
    </r>
    <r>
      <rPr>
        <sz val="10"/>
        <rFont val="Times New Roman"/>
        <family val="1"/>
      </rPr>
      <t xml:space="preserve"> = y</t>
    </r>
    <r>
      <rPr>
        <vertAlign val="subscript"/>
        <sz val="10"/>
        <rFont val="Times New Roman"/>
        <family val="1"/>
      </rPr>
      <t>C</t>
    </r>
    <r>
      <rPr>
        <sz val="10"/>
        <rFont val="Times New Roman"/>
        <family val="1"/>
      </rPr>
      <t>+Dy/8</t>
    </r>
  </si>
  <si>
    <t>Daha büyük olduğu için Durum-2 eğilme gerilmesi alınmıştır.</t>
  </si>
  <si>
    <t xml:space="preserve">“Normal kullanma- Hareket”  yük durumunda bükülme meydana gelmez. </t>
  </si>
  <si>
    <t xml:space="preserve"> y  =</t>
  </si>
  <si>
    <t xml:space="preserve"> i  =</t>
  </si>
  <si>
    <r>
      <t>Kullanılan ray için W</t>
    </r>
    <r>
      <rPr>
        <vertAlign val="subscript"/>
        <sz val="10"/>
        <rFont val="Times New Roman"/>
        <family val="1"/>
      </rPr>
      <t>y</t>
    </r>
  </si>
  <si>
    <r>
      <t>( mm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)</t>
    </r>
  </si>
  <si>
    <r>
      <rPr>
        <sz val="10"/>
        <rFont val="Symbol"/>
        <family val="1"/>
      </rPr>
      <t>s</t>
    </r>
    <r>
      <rPr>
        <sz val="10"/>
        <rFont val="Times New Roman"/>
        <family val="1"/>
      </rPr>
      <t>zul</t>
    </r>
  </si>
  <si>
    <r>
      <t xml:space="preserve">5.3.2.2.- </t>
    </r>
    <r>
      <rPr>
        <sz val="10"/>
        <rFont val="Times New Roman"/>
        <family val="1"/>
      </rPr>
      <t>Kuyu alt boşluğu tabanı, her bir kabin tamponunun altında, beyan yükü ile yüklü kabin kütlesinden kaynaklanan              statik kuvvetin 4 katını taşıyabilmelidir.</t>
    </r>
  </si>
  <si>
    <t>Tampon Hesapları</t>
  </si>
  <si>
    <t>v</t>
  </si>
  <si>
    <t xml:space="preserve"> =</t>
  </si>
  <si>
    <r>
      <t>Max. Toplam kütle : P</t>
    </r>
    <r>
      <rPr>
        <vertAlign val="subscript"/>
        <sz val="10"/>
        <rFont val="Times New Roman"/>
        <family val="1"/>
      </rPr>
      <t>bmax</t>
    </r>
  </si>
  <si>
    <r>
      <t>(Q+P) / n</t>
    </r>
    <r>
      <rPr>
        <vertAlign val="subscript"/>
        <sz val="10"/>
        <rFont val="Times New Roman"/>
        <family val="1"/>
      </rPr>
      <t>b</t>
    </r>
  </si>
  <si>
    <r>
      <t>Min. Toplam kütle : P</t>
    </r>
    <r>
      <rPr>
        <vertAlign val="subscript"/>
        <sz val="10"/>
        <rFont val="Times New Roman"/>
        <family val="1"/>
      </rPr>
      <t>bmin</t>
    </r>
  </si>
  <si>
    <r>
      <t>P / n</t>
    </r>
    <r>
      <rPr>
        <vertAlign val="subscript"/>
        <sz val="10"/>
        <rFont val="Times New Roman"/>
        <family val="1"/>
      </rPr>
      <t>b</t>
    </r>
  </si>
  <si>
    <r>
      <t>Tampon adedi : n</t>
    </r>
    <r>
      <rPr>
        <vertAlign val="subscript"/>
        <sz val="10"/>
        <rFont val="Times New Roman"/>
        <family val="1"/>
      </rPr>
      <t>b</t>
    </r>
  </si>
  <si>
    <t>K.1.1. SEÇİLEN SİLİNDİRİN ET KALINLIĞININ KONTROL EDİLMESİ</t>
  </si>
  <si>
    <r>
      <t>e</t>
    </r>
    <r>
      <rPr>
        <vertAlign val="subscript"/>
        <sz val="10"/>
        <rFont val="Times New Roman"/>
        <family val="1"/>
      </rPr>
      <t>cyl</t>
    </r>
    <r>
      <rPr>
        <sz val="10"/>
        <rFont val="Times New Roman"/>
        <family val="1"/>
      </rPr>
      <t xml:space="preserve">  =</t>
    </r>
  </si>
  <si>
    <t>Hesaplanan silindir kalınlığı sınır değeri :</t>
  </si>
  <si>
    <r>
      <t>R</t>
    </r>
    <r>
      <rPr>
        <vertAlign val="subscript"/>
        <sz val="10"/>
        <rFont val="Times New Roman"/>
        <family val="1"/>
      </rPr>
      <t>p0,2 =</t>
    </r>
  </si>
  <si>
    <r>
      <t>N / mm</t>
    </r>
    <r>
      <rPr>
        <vertAlign val="superscript"/>
        <sz val="10"/>
        <rFont val="Times New Roman"/>
        <family val="1"/>
      </rPr>
      <t>2</t>
    </r>
  </si>
  <si>
    <r>
      <t>P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=</t>
    </r>
  </si>
  <si>
    <r>
      <t>10 x g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x(c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>x(P+Q)+Q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+P</t>
    </r>
    <r>
      <rPr>
        <vertAlign val="subscript"/>
        <sz val="10"/>
        <rFont val="Times New Roman"/>
        <family val="1"/>
      </rPr>
      <t>rh</t>
    </r>
    <r>
      <rPr>
        <sz val="10"/>
        <rFont val="Times New Roman"/>
        <family val="1"/>
      </rPr>
      <t>)/A</t>
    </r>
    <r>
      <rPr>
        <vertAlign val="subscript"/>
        <sz val="10"/>
        <rFont val="Times New Roman"/>
        <family val="1"/>
      </rPr>
      <t>p</t>
    </r>
  </si>
  <si>
    <r>
      <t>Q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L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>*q</t>
    </r>
  </si>
  <si>
    <t>10x9,81x(1x(600+400)+36,98+10)/</t>
  </si>
  <si>
    <r>
      <t>A</t>
    </r>
    <r>
      <rPr>
        <vertAlign val="subscript"/>
        <sz val="10"/>
        <rFont val="Times New Roman"/>
        <family val="1"/>
      </rPr>
      <t>p =</t>
    </r>
  </si>
  <si>
    <r>
      <t>p*</t>
    </r>
    <r>
      <rPr>
        <sz val="10"/>
        <rFont val="Times New Roman"/>
        <family val="1"/>
      </rPr>
      <t>d</t>
    </r>
    <r>
      <rPr>
        <vertAlign val="subscript"/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/4</t>
    </r>
  </si>
  <si>
    <r>
      <t>d</t>
    </r>
    <r>
      <rPr>
        <vertAlign val="subscript"/>
        <sz val="10"/>
        <rFont val="Times New Roman"/>
        <family val="1"/>
      </rPr>
      <t>e</t>
    </r>
  </si>
  <si>
    <r>
      <t>c</t>
    </r>
    <r>
      <rPr>
        <vertAlign val="subscript"/>
        <sz val="10"/>
        <rFont val="Times New Roman"/>
        <family val="1"/>
      </rPr>
      <t>m</t>
    </r>
  </si>
  <si>
    <t>Bar</t>
  </si>
  <si>
    <r>
      <t>2,3*1,7*P</t>
    </r>
    <r>
      <rPr>
        <vertAlign val="subscript"/>
        <sz val="10"/>
        <rFont val="Times New Roman"/>
        <family val="1"/>
      </rPr>
      <t>max</t>
    </r>
  </si>
  <si>
    <t>----------------</t>
  </si>
  <si>
    <r>
      <t>R</t>
    </r>
    <r>
      <rPr>
        <vertAlign val="subscript"/>
        <sz val="10"/>
        <rFont val="Times New Roman"/>
        <family val="1"/>
      </rPr>
      <t>p0,2</t>
    </r>
  </si>
  <si>
    <t>D</t>
  </si>
  <si>
    <t>--</t>
  </si>
  <si>
    <r>
      <t>e</t>
    </r>
    <r>
      <rPr>
        <vertAlign val="subscript"/>
        <sz val="10"/>
        <rFont val="Times New Roman"/>
        <family val="1"/>
      </rPr>
      <t>0</t>
    </r>
  </si>
  <si>
    <t>-------------</t>
  </si>
  <si>
    <t>Seçilen Piston cidar kalınlığı Uygundur.</t>
  </si>
  <si>
    <t>K.2. -PİSTONUN BÜKÜLMEYE KARŞI HESAPLANMASI</t>
  </si>
  <si>
    <t>Tahrik Şekli :</t>
  </si>
  <si>
    <t>Seyir Mesafesi</t>
  </si>
  <si>
    <t>Piston Adedi</t>
  </si>
  <si>
    <t>Adet</t>
  </si>
  <si>
    <t>Karkas+Kabin Ağırlığı</t>
  </si>
  <si>
    <t>Piston üstü makarası Ağırlığı</t>
  </si>
  <si>
    <r>
      <t>P</t>
    </r>
    <r>
      <rPr>
        <vertAlign val="subscript"/>
        <sz val="10"/>
        <rFont val="Times New Roman"/>
        <family val="1"/>
      </rPr>
      <t>mak</t>
    </r>
  </si>
  <si>
    <t>Piston Tipi</t>
  </si>
  <si>
    <t>Piston üzerine etki eden Yükler</t>
  </si>
  <si>
    <r>
      <t>P</t>
    </r>
    <r>
      <rPr>
        <vertAlign val="subscript"/>
        <sz val="10"/>
        <rFont val="Times New Roman"/>
        <family val="1"/>
      </rPr>
      <t>top</t>
    </r>
  </si>
  <si>
    <t>Piston bükülme Boyunun Hesaplanması</t>
  </si>
  <si>
    <r>
      <t>P</t>
    </r>
    <r>
      <rPr>
        <vertAlign val="subscript"/>
        <sz val="10"/>
        <rFont val="Times New Roman"/>
        <family val="1"/>
      </rPr>
      <t>r</t>
    </r>
  </si>
  <si>
    <r>
      <t>L</t>
    </r>
    <r>
      <rPr>
        <vertAlign val="subscript"/>
        <sz val="10"/>
        <rFont val="Times New Roman"/>
        <family val="1"/>
      </rPr>
      <t>k</t>
    </r>
  </si>
  <si>
    <t>Piston Ağırlığının Hesaplanması</t>
  </si>
  <si>
    <t>Pistonu Bükmeye Çalışan Yük</t>
  </si>
  <si>
    <r>
      <t>F</t>
    </r>
    <r>
      <rPr>
        <vertAlign val="subscript"/>
        <sz val="10"/>
        <rFont val="Times New Roman"/>
        <family val="1"/>
      </rPr>
      <t>5</t>
    </r>
  </si>
  <si>
    <t>Piston Eylemsizlik Momenti</t>
  </si>
  <si>
    <t>Piston Eylemsizlik Yarıçapı</t>
  </si>
  <si>
    <r>
      <t>i</t>
    </r>
    <r>
      <rPr>
        <vertAlign val="subscript"/>
        <sz val="10"/>
        <rFont val="Times New Roman"/>
        <family val="1"/>
      </rPr>
      <t>n</t>
    </r>
  </si>
  <si>
    <t>l</t>
  </si>
  <si>
    <r>
      <t xml:space="preserve">Bükülme Katsayısı </t>
    </r>
    <r>
      <rPr>
        <sz val="10"/>
        <rFont val="Times New Roman"/>
        <family val="1"/>
      </rPr>
      <t>değeri</t>
    </r>
  </si>
  <si>
    <t>F5</t>
  </si>
  <si>
    <t>Direk-</t>
  </si>
  <si>
    <t>Piston Başı Donanımının Kütlesi</t>
  </si>
  <si>
    <r>
      <t>P</t>
    </r>
    <r>
      <rPr>
        <vertAlign val="subscript"/>
        <sz val="10"/>
        <rFont val="Times New Roman"/>
        <family val="1"/>
      </rPr>
      <t>rh</t>
    </r>
  </si>
  <si>
    <t>1,4*gn*(cm*(P+Q)+0,64*Pr+Prh)</t>
  </si>
  <si>
    <t>Piston Kesit Alanı</t>
  </si>
  <si>
    <r>
      <t>A</t>
    </r>
    <r>
      <rPr>
        <vertAlign val="subscript"/>
        <sz val="10"/>
        <rFont val="Times New Roman"/>
        <family val="1"/>
      </rPr>
      <t>n</t>
    </r>
  </si>
  <si>
    <r>
      <t xml:space="preserve"> L</t>
    </r>
    <r>
      <rPr>
        <vertAlign val="subscript"/>
        <sz val="10"/>
        <rFont val="Times New Roman"/>
        <family val="1"/>
      </rPr>
      <t>k</t>
    </r>
    <r>
      <rPr>
        <sz val="10"/>
        <rFont val="Times New Roman"/>
        <family val="1"/>
      </rPr>
      <t xml:space="preserve"> / i</t>
    </r>
    <r>
      <rPr>
        <vertAlign val="subscript"/>
        <sz val="10"/>
        <rFont val="Times New Roman"/>
        <family val="1"/>
      </rPr>
      <t>n</t>
    </r>
  </si>
  <si>
    <t>Piston Bükülme Sınırı</t>
  </si>
  <si>
    <r>
      <t>F</t>
    </r>
    <r>
      <rPr>
        <vertAlign val="subscript"/>
        <sz val="10"/>
        <rFont val="Times New Roman"/>
        <family val="1"/>
      </rPr>
      <t>D</t>
    </r>
  </si>
  <si>
    <r>
      <t>p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* E * J</t>
    </r>
    <r>
      <rPr>
        <vertAlign val="subscript"/>
        <sz val="10"/>
        <rFont val="Times New Roman"/>
        <family val="1"/>
      </rPr>
      <t>n</t>
    </r>
  </si>
  <si>
    <r>
      <t>2 * L</t>
    </r>
    <r>
      <rPr>
        <vertAlign val="subscript"/>
        <sz val="10"/>
        <rFont val="Times New Roman"/>
        <family val="1"/>
      </rPr>
      <t>k</t>
    </r>
    <r>
      <rPr>
        <vertAlign val="superscript"/>
        <sz val="10"/>
        <rFont val="Times New Roman"/>
        <family val="1"/>
      </rPr>
      <t>2</t>
    </r>
  </si>
  <si>
    <r>
      <t>F</t>
    </r>
    <r>
      <rPr>
        <vertAlign val="subscript"/>
        <sz val="10"/>
        <rFont val="Times New Roman"/>
        <family val="1"/>
      </rPr>
      <t xml:space="preserve">D </t>
    </r>
  </si>
  <si>
    <t>Piston Bükülme Sınırı Uygundur.</t>
  </si>
  <si>
    <r>
      <t>J</t>
    </r>
    <r>
      <rPr>
        <vertAlign val="subscript"/>
        <sz val="10"/>
        <rFont val="Times New Roman"/>
        <family val="1"/>
      </rPr>
      <t>n</t>
    </r>
  </si>
  <si>
    <r>
      <t>(J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/ A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</t>
    </r>
    <r>
      <rPr>
        <vertAlign val="superscript"/>
        <sz val="10"/>
        <rFont val="Times New Roman"/>
        <family val="1"/>
      </rPr>
      <t>1/2</t>
    </r>
  </si>
  <si>
    <r>
      <t>p*</t>
    </r>
    <r>
      <rPr>
        <sz val="10"/>
        <rFont val="Times New Roman"/>
        <family val="1"/>
      </rPr>
      <t>(D</t>
    </r>
    <r>
      <rPr>
        <vertAlign val="subscript"/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d</t>
    </r>
    <r>
      <rPr>
        <vertAlign val="subscript"/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)/4</t>
    </r>
  </si>
  <si>
    <r>
      <t>p*</t>
    </r>
    <r>
      <rPr>
        <sz val="10"/>
        <rFont val="Times New Roman"/>
        <family val="1"/>
      </rPr>
      <t>(D</t>
    </r>
    <r>
      <rPr>
        <vertAlign val="subscript"/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d</t>
    </r>
    <r>
      <rPr>
        <vertAlign val="subscript"/>
        <sz val="10"/>
        <rFont val="Times New Roman"/>
        <family val="1"/>
      </rPr>
      <t>e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)/64</t>
    </r>
  </si>
  <si>
    <r>
      <t>Eşik kuvveti  F</t>
    </r>
    <r>
      <rPr>
        <b/>
        <vertAlign val="subscript"/>
        <sz val="10"/>
        <rFont val="Times New Roman"/>
        <family val="1"/>
      </rPr>
      <t>s</t>
    </r>
  </si>
  <si>
    <t>HESAP SAYFALARI</t>
  </si>
  <si>
    <t>Sayfa-1</t>
  </si>
  <si>
    <t>Sayfa-2</t>
  </si>
  <si>
    <t>Sayfa-3</t>
  </si>
  <si>
    <t>Sayfa-4</t>
  </si>
  <si>
    <t>Sayfa-5</t>
  </si>
  <si>
    <t>Sayfa-6</t>
  </si>
  <si>
    <t>Sayfa-7</t>
  </si>
  <si>
    <t>Sayfa-8</t>
  </si>
  <si>
    <t>Sayfa-9</t>
  </si>
  <si>
    <t>Sayfa-10</t>
  </si>
  <si>
    <t>Sayfa-11</t>
  </si>
  <si>
    <t>Sayfa-12</t>
  </si>
  <si>
    <t>Not:*,açık sarı renkler giriş değerleri,gül rengi  çıkış değerleridir.</t>
  </si>
  <si>
    <t>UYGUN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</si>
</sst>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.0\ &quot;mm&quot;"/>
    <numFmt numFmtId="168" formatCode="#,##0\ &quot;N&quot;"/>
    <numFmt numFmtId="169" formatCode="#,##0.0\ &quot;N&quot;"/>
    <numFmt numFmtId="170" formatCode="#,##0.0"/>
    <numFmt numFmtId="171" formatCode="0.0"/>
    <numFmt numFmtId="172" formatCode="0.000"/>
    <numFmt numFmtId="173" formatCode="#,##0.000"/>
    <numFmt numFmtId="174" formatCode="[$-41F]dd\ mmmm\ yyyy\ dddd"/>
    <numFmt numFmtId="175" formatCode="[$€-2]\ #,##0.00_);[Red]\([$€-2]\ #,##0.00\)"/>
  </numFmts>
  <fonts count="70">
    <font>
      <sz val="10"/>
      <name val="Arial Tu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 Tur"/>
      <family val="0"/>
    </font>
    <font>
      <b/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Symbol"/>
      <family val="1"/>
    </font>
    <font>
      <i/>
      <vertAlign val="subscript"/>
      <sz val="10"/>
      <name val="Times New Roman"/>
      <family val="1"/>
    </font>
    <font>
      <b/>
      <sz val="12"/>
      <name val="Times New Roman"/>
      <family val="1"/>
    </font>
    <font>
      <b/>
      <sz val="12"/>
      <name val="Symbol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vertAlign val="subscript"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5"/>
      <color indexed="12"/>
      <name val="Arial Tur"/>
      <family val="0"/>
    </font>
    <font>
      <u val="single"/>
      <sz val="15"/>
      <color indexed="36"/>
      <name val="Arial Tur"/>
      <family val="0"/>
    </font>
    <font>
      <b/>
      <u val="single"/>
      <sz val="8"/>
      <name val="Times New Roman"/>
      <family val="1"/>
    </font>
    <font>
      <i/>
      <sz val="12"/>
      <color indexed="8"/>
      <name val="Symbol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Tur"/>
      <family val="0"/>
    </font>
    <font>
      <sz val="12"/>
      <name val="Arial Tur"/>
      <family val="0"/>
    </font>
    <font>
      <b/>
      <sz val="14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name val="Arial Tu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5" applyNumberFormat="0" applyAlignment="0" applyProtection="0"/>
    <xf numFmtId="0" fontId="61" fillId="21" borderId="6" applyNumberFormat="0" applyAlignment="0" applyProtection="0"/>
    <xf numFmtId="0" fontId="62" fillId="20" borderId="6" applyNumberFormat="0" applyAlignment="0" applyProtection="0"/>
    <xf numFmtId="0" fontId="63" fillId="22" borderId="7" applyNumberFormat="0" applyAlignment="0" applyProtection="0"/>
    <xf numFmtId="0" fontId="6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0" fillId="25" borderId="8" applyNumberFormat="0" applyFont="0" applyAlignment="0" applyProtection="0"/>
    <xf numFmtId="0" fontId="6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 horizontal="left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/>
    </xf>
    <xf numFmtId="16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33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171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71" fontId="3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40" xfId="0" applyFont="1" applyBorder="1" applyAlignment="1">
      <alignment horizontal="center" vertical="center" shrinkToFit="1"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left" indent="2"/>
    </xf>
    <xf numFmtId="0" fontId="3" fillId="0" borderId="0" xfId="0" applyFont="1" applyAlignment="1" quotePrefix="1">
      <alignment horizontal="center"/>
    </xf>
    <xf numFmtId="0" fontId="3" fillId="0" borderId="2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3" xfId="0" applyFont="1" applyBorder="1" applyAlignment="1">
      <alignment horizontal="left" indent="4"/>
    </xf>
    <xf numFmtId="170" fontId="3" fillId="0" borderId="12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4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shrinkToFit="1"/>
    </xf>
    <xf numFmtId="0" fontId="3" fillId="0" borderId="49" xfId="0" applyFont="1" applyBorder="1" applyAlignment="1">
      <alignment/>
    </xf>
    <xf numFmtId="2" fontId="3" fillId="0" borderId="0" xfId="0" applyNumberFormat="1" applyFont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3" fillId="0" borderId="15" xfId="0" applyFont="1" applyBorder="1" applyAlignment="1">
      <alignment/>
    </xf>
    <xf numFmtId="171" fontId="3" fillId="0" borderId="15" xfId="0" applyNumberFormat="1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left"/>
    </xf>
    <xf numFmtId="0" fontId="2" fillId="0" borderId="0" xfId="0" applyFont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indent="4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" fillId="0" borderId="27" xfId="0" applyFont="1" applyBorder="1" applyAlignment="1">
      <alignment/>
    </xf>
    <xf numFmtId="0" fontId="3" fillId="35" borderId="27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3" fillId="35" borderId="27" xfId="0" applyFont="1" applyFill="1" applyBorder="1" applyAlignment="1">
      <alignment horizontal="center"/>
    </xf>
    <xf numFmtId="0" fontId="3" fillId="35" borderId="27" xfId="0" applyFont="1" applyFill="1" applyBorder="1" applyAlignment="1">
      <alignment/>
    </xf>
    <xf numFmtId="0" fontId="5" fillId="35" borderId="27" xfId="0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35" borderId="3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7" fillId="34" borderId="27" xfId="0" applyFont="1" applyFill="1" applyBorder="1" applyAlignment="1">
      <alignment horizontal="left"/>
    </xf>
    <xf numFmtId="0" fontId="26" fillId="35" borderId="27" xfId="0" applyFont="1" applyFill="1" applyBorder="1" applyAlignment="1">
      <alignment/>
    </xf>
    <xf numFmtId="0" fontId="27" fillId="35" borderId="27" xfId="0" applyFont="1" applyFill="1" applyBorder="1" applyAlignment="1">
      <alignment/>
    </xf>
    <xf numFmtId="0" fontId="27" fillId="36" borderId="27" xfId="0" applyFont="1" applyFill="1" applyBorder="1" applyAlignment="1">
      <alignment/>
    </xf>
    <xf numFmtId="0" fontId="26" fillId="36" borderId="27" xfId="0" applyFont="1" applyFill="1" applyBorder="1" applyAlignment="1">
      <alignment horizontal="left"/>
    </xf>
    <xf numFmtId="0" fontId="26" fillId="35" borderId="27" xfId="0" applyFont="1" applyFill="1" applyBorder="1" applyAlignment="1">
      <alignment horizontal="left"/>
    </xf>
    <xf numFmtId="0" fontId="27" fillId="35" borderId="27" xfId="0" applyFont="1" applyFill="1" applyBorder="1" applyAlignment="1">
      <alignment horizontal="left"/>
    </xf>
    <xf numFmtId="0" fontId="26" fillId="35" borderId="27" xfId="0" applyFont="1" applyFill="1" applyBorder="1" applyAlignment="1">
      <alignment/>
    </xf>
    <xf numFmtId="0" fontId="26" fillId="35" borderId="36" xfId="0" applyFont="1" applyFill="1" applyBorder="1" applyAlignment="1">
      <alignment horizontal="left"/>
    </xf>
    <xf numFmtId="0" fontId="26" fillId="35" borderId="36" xfId="0" applyFont="1" applyFill="1" applyBorder="1" applyAlignment="1">
      <alignment/>
    </xf>
    <xf numFmtId="0" fontId="26" fillId="34" borderId="27" xfId="0" applyFont="1" applyFill="1" applyBorder="1" applyAlignment="1">
      <alignment horizontal="left"/>
    </xf>
    <xf numFmtId="0" fontId="26" fillId="0" borderId="27" xfId="0" applyFont="1" applyBorder="1" applyAlignment="1">
      <alignment horizontal="left"/>
    </xf>
    <xf numFmtId="0" fontId="26" fillId="0" borderId="27" xfId="0" applyFont="1" applyBorder="1" applyAlignment="1">
      <alignment/>
    </xf>
    <xf numFmtId="0" fontId="26" fillId="0" borderId="27" xfId="0" applyFont="1" applyBorder="1" applyAlignment="1">
      <alignment/>
    </xf>
    <xf numFmtId="0" fontId="13" fillId="37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15" fillId="0" borderId="3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3" fillId="37" borderId="27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27" fillId="34" borderId="0" xfId="0" applyFont="1" applyFill="1" applyAlignment="1">
      <alignment/>
    </xf>
    <xf numFmtId="170" fontId="13" fillId="37" borderId="27" xfId="0" applyNumberFormat="1" applyFont="1" applyFill="1" applyBorder="1" applyAlignment="1">
      <alignment horizontal="center"/>
    </xf>
    <xf numFmtId="3" fontId="5" fillId="37" borderId="27" xfId="0" applyNumberFormat="1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37" borderId="2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3" fillId="34" borderId="36" xfId="0" applyFont="1" applyFill="1" applyBorder="1" applyAlignment="1">
      <alignment horizontal="center"/>
    </xf>
    <xf numFmtId="3" fontId="13" fillId="37" borderId="27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3" fillId="37" borderId="0" xfId="0" applyFont="1" applyFill="1" applyAlignment="1">
      <alignment horizontal="center"/>
    </xf>
    <xf numFmtId="171" fontId="13" fillId="37" borderId="0" xfId="0" applyNumberFormat="1" applyFont="1" applyFill="1" applyAlignment="1">
      <alignment horizontal="center"/>
    </xf>
    <xf numFmtId="0" fontId="26" fillId="36" borderId="27" xfId="0" applyFont="1" applyFill="1" applyBorder="1" applyAlignment="1">
      <alignment horizontal="left"/>
    </xf>
    <xf numFmtId="3" fontId="13" fillId="37" borderId="15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27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34" borderId="27" xfId="0" applyFont="1" applyFill="1" applyBorder="1" applyAlignment="1">
      <alignment horizontal="left"/>
    </xf>
    <xf numFmtId="171" fontId="13" fillId="37" borderId="27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5" fillId="37" borderId="27" xfId="0" applyNumberFormat="1" applyFont="1" applyFill="1" applyBorder="1" applyAlignment="1">
      <alignment horizontal="center"/>
    </xf>
    <xf numFmtId="3" fontId="5" fillId="37" borderId="15" xfId="0" applyNumberFormat="1" applyFont="1" applyFill="1" applyBorder="1" applyAlignment="1">
      <alignment horizontal="center"/>
    </xf>
    <xf numFmtId="3" fontId="13" fillId="34" borderId="27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71" fontId="13" fillId="37" borderId="15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2" fontId="13" fillId="37" borderId="0" xfId="0" applyNumberFormat="1" applyFont="1" applyFill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0" xfId="0" applyNumberFormat="1" applyFont="1" applyAlignment="1">
      <alignment horizontal="left"/>
    </xf>
    <xf numFmtId="171" fontId="13" fillId="37" borderId="12" xfId="0" applyNumberFormat="1" applyFont="1" applyFill="1" applyBorder="1" applyAlignment="1">
      <alignment horizontal="center"/>
    </xf>
    <xf numFmtId="4" fontId="13" fillId="37" borderId="12" xfId="0" applyNumberFormat="1" applyFont="1" applyFill="1" applyBorder="1" applyAlignment="1">
      <alignment horizontal="center" vertical="center" shrinkToFit="1"/>
    </xf>
    <xf numFmtId="1" fontId="13" fillId="37" borderId="0" xfId="0" applyNumberFormat="1" applyFont="1" applyFill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3" fillId="37" borderId="27" xfId="0" applyNumberFormat="1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 vertical="center" shrinkToFit="1"/>
    </xf>
    <xf numFmtId="0" fontId="13" fillId="37" borderId="16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13" borderId="14" xfId="0" applyFont="1" applyFill="1" applyBorder="1" applyAlignment="1">
      <alignment horizontal="left"/>
    </xf>
    <xf numFmtId="0" fontId="3" fillId="13" borderId="15" xfId="0" applyFont="1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13" borderId="16" xfId="0" applyFill="1" applyBorder="1" applyAlignment="1">
      <alignment/>
    </xf>
    <xf numFmtId="0" fontId="3" fillId="35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5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5" borderId="27" xfId="0" applyFont="1" applyFill="1" applyBorder="1" applyAlignment="1">
      <alignment horizontal="left"/>
    </xf>
    <xf numFmtId="0" fontId="5" fillId="35" borderId="36" xfId="0" applyFont="1" applyFill="1" applyBorder="1" applyAlignment="1">
      <alignment horizontal="left"/>
    </xf>
    <xf numFmtId="0" fontId="3" fillId="0" borderId="0" xfId="0" applyNumberFormat="1" applyFont="1" applyAlignment="1" quotePrefix="1">
      <alignment horizontal="left"/>
    </xf>
    <xf numFmtId="0" fontId="3" fillId="0" borderId="16" xfId="0" applyFont="1" applyBorder="1" applyAlignment="1">
      <alignment horizontal="center"/>
    </xf>
    <xf numFmtId="0" fontId="5" fillId="34" borderId="27" xfId="0" applyFont="1" applyFill="1" applyBorder="1" applyAlignment="1">
      <alignment horizontal="left"/>
    </xf>
    <xf numFmtId="171" fontId="3" fillId="0" borderId="0" xfId="0" applyNumberFormat="1" applyFont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37" borderId="27" xfId="0" applyFont="1" applyFill="1" applyBorder="1" applyAlignment="1">
      <alignment horizontal="left"/>
    </xf>
    <xf numFmtId="0" fontId="26" fillId="36" borderId="27" xfId="0" applyFont="1" applyFill="1" applyBorder="1" applyAlignment="1">
      <alignment horizontal="center"/>
    </xf>
    <xf numFmtId="0" fontId="26" fillId="34" borderId="36" xfId="0" applyFont="1" applyFill="1" applyBorder="1" applyAlignment="1">
      <alignment horizontal="left"/>
    </xf>
    <xf numFmtId="3" fontId="13" fillId="37" borderId="0" xfId="0" applyNumberFormat="1" applyFont="1" applyFill="1" applyAlignment="1">
      <alignment horizontal="center"/>
    </xf>
    <xf numFmtId="4" fontId="26" fillId="34" borderId="27" xfId="0" applyNumberFormat="1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3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34" borderId="15" xfId="0" applyFont="1" applyFill="1" applyBorder="1" applyAlignment="1">
      <alignment horizontal="center"/>
    </xf>
    <xf numFmtId="1" fontId="13" fillId="37" borderId="2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0" fontId="13" fillId="37" borderId="0" xfId="0" applyNumberFormat="1" applyFont="1" applyFill="1" applyAlignment="1">
      <alignment horizontal="center"/>
    </xf>
    <xf numFmtId="171" fontId="13" fillId="34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0" xfId="0" applyFont="1" applyAlignment="1">
      <alignment horizontal="left" shrinkToFit="1"/>
    </xf>
    <xf numFmtId="0" fontId="13" fillId="37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13" fillId="37" borderId="12" xfId="0" applyNumberFormat="1" applyFont="1" applyFill="1" applyBorder="1" applyAlignment="1">
      <alignment horizontal="center"/>
    </xf>
    <xf numFmtId="171" fontId="3" fillId="0" borderId="0" xfId="0" applyNumberFormat="1" applyFont="1" applyAlignment="1">
      <alignment horizontal="left"/>
    </xf>
    <xf numFmtId="1" fontId="13" fillId="37" borderId="0" xfId="0" applyNumberFormat="1" applyFont="1" applyFill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13" borderId="14" xfId="0" applyFont="1" applyFill="1" applyBorder="1" applyAlignment="1">
      <alignment/>
    </xf>
    <xf numFmtId="0" fontId="29" fillId="13" borderId="15" xfId="0" applyFont="1" applyFill="1" applyBorder="1" applyAlignment="1">
      <alignment/>
    </xf>
    <xf numFmtId="0" fontId="29" fillId="13" borderId="16" xfId="0" applyFont="1" applyFill="1" applyBorder="1" applyAlignment="1">
      <alignment/>
    </xf>
    <xf numFmtId="1" fontId="3" fillId="13" borderId="14" xfId="0" applyNumberFormat="1" applyFont="1" applyFill="1" applyBorder="1" applyAlignment="1">
      <alignment horizontal="left"/>
    </xf>
    <xf numFmtId="1" fontId="3" fillId="13" borderId="15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0" fillId="0" borderId="27" xfId="0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0" xfId="0" applyFont="1" applyAlignment="1">
      <alignment/>
    </xf>
    <xf numFmtId="0" fontId="28" fillId="0" borderId="20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8" xfId="0" applyFont="1" applyBorder="1" applyAlignment="1">
      <alignment/>
    </xf>
    <xf numFmtId="0" fontId="5" fillId="10" borderId="14" xfId="0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27" fillId="35" borderId="19" xfId="0" applyFont="1" applyFill="1" applyBorder="1" applyAlignment="1">
      <alignment/>
    </xf>
    <xf numFmtId="0" fontId="27" fillId="35" borderId="17" xfId="0" applyFont="1" applyFill="1" applyBorder="1" applyAlignment="1">
      <alignment/>
    </xf>
    <xf numFmtId="0" fontId="27" fillId="35" borderId="20" xfId="0" applyFont="1" applyFill="1" applyBorder="1" applyAlignment="1">
      <alignment/>
    </xf>
    <xf numFmtId="0" fontId="27" fillId="35" borderId="13" xfId="0" applyFont="1" applyFill="1" applyBorder="1" applyAlignment="1">
      <alignment/>
    </xf>
    <xf numFmtId="0" fontId="27" fillId="35" borderId="18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6" fillId="36" borderId="11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5" borderId="11" xfId="0" applyFont="1" applyFill="1" applyBorder="1" applyAlignment="1">
      <alignment/>
    </xf>
    <xf numFmtId="0" fontId="26" fillId="35" borderId="11" xfId="0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31" fillId="38" borderId="27" xfId="0" applyFont="1" applyFill="1" applyBorder="1" applyAlignment="1">
      <alignment horizontal="center"/>
    </xf>
    <xf numFmtId="0" fontId="32" fillId="38" borderId="27" xfId="0" applyFont="1" applyFill="1" applyBorder="1" applyAlignment="1">
      <alignment horizontal="center"/>
    </xf>
    <xf numFmtId="0" fontId="30" fillId="37" borderId="14" xfId="0" applyFont="1" applyFill="1" applyBorder="1" applyAlignment="1">
      <alignment horizontal="center"/>
    </xf>
    <xf numFmtId="0" fontId="30" fillId="37" borderId="15" xfId="0" applyFont="1" applyFill="1" applyBorder="1" applyAlignment="1">
      <alignment horizontal="center"/>
    </xf>
    <xf numFmtId="0" fontId="30" fillId="37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5" fillId="36" borderId="27" xfId="0" applyFont="1" applyFill="1" applyBorder="1" applyAlignment="1">
      <alignment horizontal="center"/>
    </xf>
    <xf numFmtId="0" fontId="5" fillId="36" borderId="14" xfId="0" applyFont="1" applyFill="1" applyBorder="1" applyAlignment="1">
      <alignment/>
    </xf>
    <xf numFmtId="0" fontId="0" fillId="36" borderId="15" xfId="0" applyFill="1" applyBorder="1" applyAlignment="1">
      <alignment/>
    </xf>
    <xf numFmtId="0" fontId="5" fillId="34" borderId="27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171" fontId="26" fillId="36" borderId="27" xfId="0" applyNumberFormat="1" applyFont="1" applyFill="1" applyBorder="1" applyAlignment="1">
      <alignment horizontal="left"/>
    </xf>
    <xf numFmtId="0" fontId="5" fillId="37" borderId="14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37" borderId="0" xfId="0" applyFont="1" applyFill="1" applyAlignment="1">
      <alignment horizontal="center"/>
    </xf>
    <xf numFmtId="0" fontId="51" fillId="37" borderId="0" xfId="0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wmf" /><Relationship Id="rId2" Type="http://schemas.openxmlformats.org/officeDocument/2006/relationships/image" Target="../media/image13.wmf" /><Relationship Id="rId3" Type="http://schemas.openxmlformats.org/officeDocument/2006/relationships/image" Target="../media/image14.wmf" /><Relationship Id="rId4" Type="http://schemas.openxmlformats.org/officeDocument/2006/relationships/image" Target="../media/image15.wmf" /><Relationship Id="rId5" Type="http://schemas.openxmlformats.org/officeDocument/2006/relationships/image" Target="../media/image16.wmf" /><Relationship Id="rId6" Type="http://schemas.openxmlformats.org/officeDocument/2006/relationships/image" Target="../media/image17.wmf" /><Relationship Id="rId7" Type="http://schemas.openxmlformats.org/officeDocument/2006/relationships/image" Target="../media/image18.wmf" /><Relationship Id="rId8" Type="http://schemas.openxmlformats.org/officeDocument/2006/relationships/image" Target="../media/image19.wmf" /><Relationship Id="rId9" Type="http://schemas.openxmlformats.org/officeDocument/2006/relationships/image" Target="../media/image20.wmf" /><Relationship Id="rId10" Type="http://schemas.openxmlformats.org/officeDocument/2006/relationships/image" Target="../media/image21.wmf" /><Relationship Id="rId11" Type="http://schemas.openxmlformats.org/officeDocument/2006/relationships/image" Target="../media/image23.wmf" /><Relationship Id="rId12" Type="http://schemas.openxmlformats.org/officeDocument/2006/relationships/image" Target="../media/image24.wmf" /><Relationship Id="rId13" Type="http://schemas.openxmlformats.org/officeDocument/2006/relationships/image" Target="../media/image27.wmf" /><Relationship Id="rId14" Type="http://schemas.openxmlformats.org/officeDocument/2006/relationships/image" Target="../media/image28.wmf" /><Relationship Id="rId15" Type="http://schemas.openxmlformats.org/officeDocument/2006/relationships/image" Target="../media/image29.wmf" /><Relationship Id="rId16" Type="http://schemas.openxmlformats.org/officeDocument/2006/relationships/image" Target="../media/image30.wmf" /><Relationship Id="rId17" Type="http://schemas.openxmlformats.org/officeDocument/2006/relationships/image" Target="../media/image31.wmf" /><Relationship Id="rId18" Type="http://schemas.openxmlformats.org/officeDocument/2006/relationships/image" Target="../media/image32.wmf" /><Relationship Id="rId19" Type="http://schemas.openxmlformats.org/officeDocument/2006/relationships/image" Target="../media/image33.wmf" /><Relationship Id="rId20" Type="http://schemas.openxmlformats.org/officeDocument/2006/relationships/image" Target="../media/image34.wmf" /><Relationship Id="rId21" Type="http://schemas.openxmlformats.org/officeDocument/2006/relationships/image" Target="../media/image35.wmf" /><Relationship Id="rId22" Type="http://schemas.openxmlformats.org/officeDocument/2006/relationships/image" Target="../media/image36.wmf" /><Relationship Id="rId23" Type="http://schemas.openxmlformats.org/officeDocument/2006/relationships/image" Target="../media/image3.png" /><Relationship Id="rId24" Type="http://schemas.openxmlformats.org/officeDocument/2006/relationships/image" Target="../media/image4.emf" /><Relationship Id="rId25" Type="http://schemas.openxmlformats.org/officeDocument/2006/relationships/image" Target="../media/image37.png" /><Relationship Id="rId26" Type="http://schemas.openxmlformats.org/officeDocument/2006/relationships/image" Target="../media/image5.png" /><Relationship Id="rId27" Type="http://schemas.openxmlformats.org/officeDocument/2006/relationships/image" Target="../media/image38.png" /><Relationship Id="rId28" Type="http://schemas.openxmlformats.org/officeDocument/2006/relationships/image" Target="../media/image39.png" /><Relationship Id="rId29" Type="http://schemas.openxmlformats.org/officeDocument/2006/relationships/image" Target="../media/image41.png" /><Relationship Id="rId30" Type="http://schemas.openxmlformats.org/officeDocument/2006/relationships/image" Target="../media/image43.png" /><Relationship Id="rId31" Type="http://schemas.openxmlformats.org/officeDocument/2006/relationships/image" Target="../media/image44.png" /><Relationship Id="rId32" Type="http://schemas.openxmlformats.org/officeDocument/2006/relationships/image" Target="../media/image12.png" /><Relationship Id="rId33" Type="http://schemas.openxmlformats.org/officeDocument/2006/relationships/image" Target="../media/image6.png" /><Relationship Id="rId34" Type="http://schemas.openxmlformats.org/officeDocument/2006/relationships/image" Target="../media/image45.png" /><Relationship Id="rId35" Type="http://schemas.openxmlformats.org/officeDocument/2006/relationships/image" Target="../media/image46.png" /><Relationship Id="rId36" Type="http://schemas.openxmlformats.org/officeDocument/2006/relationships/image" Target="../media/image47.png" /><Relationship Id="rId37" Type="http://schemas.openxmlformats.org/officeDocument/2006/relationships/image" Target="../media/image7.png" /><Relationship Id="rId38" Type="http://schemas.openxmlformats.org/officeDocument/2006/relationships/image" Target="../media/image8.png" /><Relationship Id="rId39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22.wmf" /><Relationship Id="rId3" Type="http://schemas.openxmlformats.org/officeDocument/2006/relationships/image" Target="../media/image25.wmf" /><Relationship Id="rId4" Type="http://schemas.openxmlformats.org/officeDocument/2006/relationships/image" Target="../media/image26.wmf" /><Relationship Id="rId5" Type="http://schemas.openxmlformats.org/officeDocument/2006/relationships/image" Target="../media/image40.wmf" /><Relationship Id="rId6" Type="http://schemas.openxmlformats.org/officeDocument/2006/relationships/image" Target="../media/image42.wmf" /><Relationship Id="rId7" Type="http://schemas.openxmlformats.org/officeDocument/2006/relationships/image" Target="../media/image2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99</xdr:row>
      <xdr:rowOff>9525</xdr:rowOff>
    </xdr:from>
    <xdr:to>
      <xdr:col>17</xdr:col>
      <xdr:colOff>0</xdr:colOff>
      <xdr:row>101</xdr:row>
      <xdr:rowOff>114300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287875"/>
          <a:ext cx="2562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103</xdr:row>
      <xdr:rowOff>28575</xdr:rowOff>
    </xdr:from>
    <xdr:to>
      <xdr:col>12</xdr:col>
      <xdr:colOff>9525</xdr:colOff>
      <xdr:row>105</xdr:row>
      <xdr:rowOff>95250</xdr:rowOff>
    </xdr:to>
    <xdr:pic>
      <xdr:nvPicPr>
        <xdr:cNvPr id="2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7992725"/>
          <a:ext cx="1781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109</xdr:row>
      <xdr:rowOff>19050</xdr:rowOff>
    </xdr:from>
    <xdr:to>
      <xdr:col>12</xdr:col>
      <xdr:colOff>66675</xdr:colOff>
      <xdr:row>112</xdr:row>
      <xdr:rowOff>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9002375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113</xdr:row>
      <xdr:rowOff>9525</xdr:rowOff>
    </xdr:from>
    <xdr:to>
      <xdr:col>16</xdr:col>
      <xdr:colOff>95250</xdr:colOff>
      <xdr:row>116</xdr:row>
      <xdr:rowOff>142875</xdr:rowOff>
    </xdr:to>
    <xdr:pic>
      <xdr:nvPicPr>
        <xdr:cNvPr id="4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9678650"/>
          <a:ext cx="2514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117</xdr:row>
      <xdr:rowOff>47625</xdr:rowOff>
    </xdr:from>
    <xdr:to>
      <xdr:col>11</xdr:col>
      <xdr:colOff>123825</xdr:colOff>
      <xdr:row>119</xdr:row>
      <xdr:rowOff>142875</xdr:rowOff>
    </xdr:to>
    <xdr:pic>
      <xdr:nvPicPr>
        <xdr:cNvPr id="5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0402550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125</xdr:row>
      <xdr:rowOff>85725</xdr:rowOff>
    </xdr:from>
    <xdr:to>
      <xdr:col>7</xdr:col>
      <xdr:colOff>0</xdr:colOff>
      <xdr:row>127</xdr:row>
      <xdr:rowOff>152400</xdr:rowOff>
    </xdr:to>
    <xdr:pic>
      <xdr:nvPicPr>
        <xdr:cNvPr id="6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1821775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201</xdr:row>
      <xdr:rowOff>95250</xdr:rowOff>
    </xdr:from>
    <xdr:to>
      <xdr:col>13</xdr:col>
      <xdr:colOff>9525</xdr:colOff>
      <xdr:row>204</xdr:row>
      <xdr:rowOff>0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34785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218</xdr:row>
      <xdr:rowOff>47625</xdr:rowOff>
    </xdr:from>
    <xdr:to>
      <xdr:col>19</xdr:col>
      <xdr:colOff>114300</xdr:colOff>
      <xdr:row>220</xdr:row>
      <xdr:rowOff>152400</xdr:rowOff>
    </xdr:to>
    <xdr:pic>
      <xdr:nvPicPr>
        <xdr:cNvPr id="8" name="Picture 1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37728525"/>
          <a:ext cx="3028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227</xdr:row>
      <xdr:rowOff>85725</xdr:rowOff>
    </xdr:from>
    <xdr:to>
      <xdr:col>12</xdr:col>
      <xdr:colOff>114300</xdr:colOff>
      <xdr:row>229</xdr:row>
      <xdr:rowOff>114300</xdr:rowOff>
    </xdr:to>
    <xdr:pic>
      <xdr:nvPicPr>
        <xdr:cNvPr id="9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39309675"/>
          <a:ext cx="2105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233</xdr:row>
      <xdr:rowOff>19050</xdr:rowOff>
    </xdr:from>
    <xdr:to>
      <xdr:col>14</xdr:col>
      <xdr:colOff>0</xdr:colOff>
      <xdr:row>235</xdr:row>
      <xdr:rowOff>152400</xdr:rowOff>
    </xdr:to>
    <xdr:pic>
      <xdr:nvPicPr>
        <xdr:cNvPr id="10" name="Picture 130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19075" y="40262175"/>
          <a:ext cx="2124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235</xdr:row>
      <xdr:rowOff>142875</xdr:rowOff>
    </xdr:from>
    <xdr:to>
      <xdr:col>3</xdr:col>
      <xdr:colOff>9525</xdr:colOff>
      <xdr:row>237</xdr:row>
      <xdr:rowOff>19050</xdr:rowOff>
    </xdr:to>
    <xdr:pic>
      <xdr:nvPicPr>
        <xdr:cNvPr id="11" name="Picture 1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3375" y="40747950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237</xdr:row>
      <xdr:rowOff>142875</xdr:rowOff>
    </xdr:from>
    <xdr:to>
      <xdr:col>3</xdr:col>
      <xdr:colOff>47625</xdr:colOff>
      <xdr:row>239</xdr:row>
      <xdr:rowOff>47625</xdr:rowOff>
    </xdr:to>
    <xdr:pic>
      <xdr:nvPicPr>
        <xdr:cNvPr id="12" name="Picture 1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3375" y="411099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244</xdr:row>
      <xdr:rowOff>85725</xdr:rowOff>
    </xdr:from>
    <xdr:to>
      <xdr:col>8</xdr:col>
      <xdr:colOff>66675</xdr:colOff>
      <xdr:row>246</xdr:row>
      <xdr:rowOff>152400</xdr:rowOff>
    </xdr:to>
    <xdr:pic>
      <xdr:nvPicPr>
        <xdr:cNvPr id="13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6725" y="42224325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253</xdr:row>
      <xdr:rowOff>9525</xdr:rowOff>
    </xdr:from>
    <xdr:to>
      <xdr:col>29</xdr:col>
      <xdr:colOff>123825</xdr:colOff>
      <xdr:row>254</xdr:row>
      <xdr:rowOff>0</xdr:rowOff>
    </xdr:to>
    <xdr:pic>
      <xdr:nvPicPr>
        <xdr:cNvPr id="14" name="Picture 1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52950" y="4371975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265</xdr:row>
      <xdr:rowOff>104775</xdr:rowOff>
    </xdr:from>
    <xdr:to>
      <xdr:col>8</xdr:col>
      <xdr:colOff>76200</xdr:colOff>
      <xdr:row>267</xdr:row>
      <xdr:rowOff>133350</xdr:rowOff>
    </xdr:to>
    <xdr:pic>
      <xdr:nvPicPr>
        <xdr:cNvPr id="15" name="Picture 1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550" y="45948600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76200</xdr:colOff>
      <xdr:row>265</xdr:row>
      <xdr:rowOff>152400</xdr:rowOff>
    </xdr:from>
    <xdr:to>
      <xdr:col>12</xdr:col>
      <xdr:colOff>123825</xdr:colOff>
      <xdr:row>267</xdr:row>
      <xdr:rowOff>19050</xdr:rowOff>
    </xdr:to>
    <xdr:pic>
      <xdr:nvPicPr>
        <xdr:cNvPr id="16" name="Picture 1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81175" y="4599622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278</xdr:row>
      <xdr:rowOff>57150</xdr:rowOff>
    </xdr:from>
    <xdr:to>
      <xdr:col>12</xdr:col>
      <xdr:colOff>28575</xdr:colOff>
      <xdr:row>281</xdr:row>
      <xdr:rowOff>0</xdr:rowOff>
    </xdr:to>
    <xdr:pic>
      <xdr:nvPicPr>
        <xdr:cNvPr id="17" name="Picture 1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3850" y="481869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66675</xdr:colOff>
      <xdr:row>279</xdr:row>
      <xdr:rowOff>9525</xdr:rowOff>
    </xdr:from>
    <xdr:to>
      <xdr:col>16</xdr:col>
      <xdr:colOff>76200</xdr:colOff>
      <xdr:row>280</xdr:row>
      <xdr:rowOff>38100</xdr:rowOff>
    </xdr:to>
    <xdr:pic>
      <xdr:nvPicPr>
        <xdr:cNvPr id="18" name="Picture 1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9825" y="48301275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287</xdr:row>
      <xdr:rowOff>38100</xdr:rowOff>
    </xdr:from>
    <xdr:to>
      <xdr:col>16</xdr:col>
      <xdr:colOff>66675</xdr:colOff>
      <xdr:row>288</xdr:row>
      <xdr:rowOff>19050</xdr:rowOff>
    </xdr:to>
    <xdr:pic>
      <xdr:nvPicPr>
        <xdr:cNvPr id="19" name="Picture 1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00300" y="497205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348</xdr:row>
      <xdr:rowOff>19050</xdr:rowOff>
    </xdr:from>
    <xdr:to>
      <xdr:col>23</xdr:col>
      <xdr:colOff>85725</xdr:colOff>
      <xdr:row>350</xdr:row>
      <xdr:rowOff>76200</xdr:rowOff>
    </xdr:to>
    <xdr:pic>
      <xdr:nvPicPr>
        <xdr:cNvPr id="20" name="Picture 1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59788425"/>
          <a:ext cx="3390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353</xdr:row>
      <xdr:rowOff>47625</xdr:rowOff>
    </xdr:from>
    <xdr:to>
      <xdr:col>10</xdr:col>
      <xdr:colOff>0</xdr:colOff>
      <xdr:row>355</xdr:row>
      <xdr:rowOff>152400</xdr:rowOff>
    </xdr:to>
    <xdr:pic>
      <xdr:nvPicPr>
        <xdr:cNvPr id="21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065520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358</xdr:row>
      <xdr:rowOff>47625</xdr:rowOff>
    </xdr:from>
    <xdr:to>
      <xdr:col>7</xdr:col>
      <xdr:colOff>9525</xdr:colOff>
      <xdr:row>361</xdr:row>
      <xdr:rowOff>47625</xdr:rowOff>
    </xdr:to>
    <xdr:pic>
      <xdr:nvPicPr>
        <xdr:cNvPr id="22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6155055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361</xdr:row>
      <xdr:rowOff>152400</xdr:rowOff>
    </xdr:from>
    <xdr:to>
      <xdr:col>23</xdr:col>
      <xdr:colOff>0</xdr:colOff>
      <xdr:row>365</xdr:row>
      <xdr:rowOff>114300</xdr:rowOff>
    </xdr:to>
    <xdr:pic>
      <xdr:nvPicPr>
        <xdr:cNvPr id="23" name="Picture 1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62188725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368</xdr:row>
      <xdr:rowOff>9525</xdr:rowOff>
    </xdr:from>
    <xdr:to>
      <xdr:col>9</xdr:col>
      <xdr:colOff>19050</xdr:colOff>
      <xdr:row>370</xdr:row>
      <xdr:rowOff>104775</xdr:rowOff>
    </xdr:to>
    <xdr:pic>
      <xdr:nvPicPr>
        <xdr:cNvPr id="24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63179325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373</xdr:row>
      <xdr:rowOff>95250</xdr:rowOff>
    </xdr:from>
    <xdr:to>
      <xdr:col>6</xdr:col>
      <xdr:colOff>66675</xdr:colOff>
      <xdr:row>376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641604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451</xdr:row>
      <xdr:rowOff>9525</xdr:rowOff>
    </xdr:from>
    <xdr:to>
      <xdr:col>13</xdr:col>
      <xdr:colOff>66675</xdr:colOff>
      <xdr:row>452</xdr:row>
      <xdr:rowOff>76200</xdr:rowOff>
    </xdr:to>
    <xdr:pic>
      <xdr:nvPicPr>
        <xdr:cNvPr id="26" name="Picture 13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724025" y="77504925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457</xdr:row>
      <xdr:rowOff>76200</xdr:rowOff>
    </xdr:from>
    <xdr:to>
      <xdr:col>9</xdr:col>
      <xdr:colOff>85725</xdr:colOff>
      <xdr:row>459</xdr:row>
      <xdr:rowOff>104775</xdr:rowOff>
    </xdr:to>
    <xdr:pic>
      <xdr:nvPicPr>
        <xdr:cNvPr id="27" name="Picture 1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78628875"/>
          <a:ext cx="1295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457</xdr:row>
      <xdr:rowOff>152400</xdr:rowOff>
    </xdr:from>
    <xdr:to>
      <xdr:col>14</xdr:col>
      <xdr:colOff>57150</xdr:colOff>
      <xdr:row>459</xdr:row>
      <xdr:rowOff>19050</xdr:rowOff>
    </xdr:to>
    <xdr:pic>
      <xdr:nvPicPr>
        <xdr:cNvPr id="28" name="Picture 1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0" y="787050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465</xdr:row>
      <xdr:rowOff>85725</xdr:rowOff>
    </xdr:from>
    <xdr:to>
      <xdr:col>11</xdr:col>
      <xdr:colOff>76200</xdr:colOff>
      <xdr:row>468</xdr:row>
      <xdr:rowOff>28575</xdr:rowOff>
    </xdr:to>
    <xdr:pic>
      <xdr:nvPicPr>
        <xdr:cNvPr id="29" name="Picture 13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" y="801147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466</xdr:row>
      <xdr:rowOff>28575</xdr:rowOff>
    </xdr:from>
    <xdr:to>
      <xdr:col>15</xdr:col>
      <xdr:colOff>95250</xdr:colOff>
      <xdr:row>467</xdr:row>
      <xdr:rowOff>57150</xdr:rowOff>
    </xdr:to>
    <xdr:pic>
      <xdr:nvPicPr>
        <xdr:cNvPr id="30" name="Picture 1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19325" y="80219550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471</xdr:row>
      <xdr:rowOff>76200</xdr:rowOff>
    </xdr:from>
    <xdr:to>
      <xdr:col>11</xdr:col>
      <xdr:colOff>95250</xdr:colOff>
      <xdr:row>474</xdr:row>
      <xdr:rowOff>38100</xdr:rowOff>
    </xdr:to>
    <xdr:pic>
      <xdr:nvPicPr>
        <xdr:cNvPr id="31" name="Picture 1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" y="81200625"/>
          <a:ext cx="1733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114300</xdr:colOff>
      <xdr:row>471</xdr:row>
      <xdr:rowOff>152400</xdr:rowOff>
    </xdr:from>
    <xdr:to>
      <xdr:col>15</xdr:col>
      <xdr:colOff>123825</xdr:colOff>
      <xdr:row>473</xdr:row>
      <xdr:rowOff>19050</xdr:rowOff>
    </xdr:to>
    <xdr:pic>
      <xdr:nvPicPr>
        <xdr:cNvPr id="32" name="Picture 1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47900" y="8127682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72</xdr:row>
      <xdr:rowOff>0</xdr:rowOff>
    </xdr:from>
    <xdr:to>
      <xdr:col>30</xdr:col>
      <xdr:colOff>66675</xdr:colOff>
      <xdr:row>95</xdr:row>
      <xdr:rowOff>19050</xdr:rowOff>
    </xdr:to>
    <xdr:pic>
      <xdr:nvPicPr>
        <xdr:cNvPr id="33" name="Picture 150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12753975"/>
          <a:ext cx="47720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74</xdr:row>
      <xdr:rowOff>9525</xdr:rowOff>
    </xdr:from>
    <xdr:to>
      <xdr:col>40</xdr:col>
      <xdr:colOff>47625</xdr:colOff>
      <xdr:row>77</xdr:row>
      <xdr:rowOff>0</xdr:rowOff>
    </xdr:to>
    <xdr:pic>
      <xdr:nvPicPr>
        <xdr:cNvPr id="34" name="Picture 152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343525" y="1308735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138</xdr:row>
      <xdr:rowOff>133350</xdr:rowOff>
    </xdr:from>
    <xdr:to>
      <xdr:col>33</xdr:col>
      <xdr:colOff>57150</xdr:colOff>
      <xdr:row>158</xdr:row>
      <xdr:rowOff>9525</xdr:rowOff>
    </xdr:to>
    <xdr:pic>
      <xdr:nvPicPr>
        <xdr:cNvPr id="35" name="Picture 165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6225" y="24060150"/>
          <a:ext cx="49339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161</xdr:row>
      <xdr:rowOff>9525</xdr:rowOff>
    </xdr:from>
    <xdr:to>
      <xdr:col>17</xdr:col>
      <xdr:colOff>0</xdr:colOff>
      <xdr:row>163</xdr:row>
      <xdr:rowOff>114300</xdr:rowOff>
    </xdr:to>
    <xdr:pic>
      <xdr:nvPicPr>
        <xdr:cNvPr id="36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736800"/>
          <a:ext cx="2562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165</xdr:row>
      <xdr:rowOff>28575</xdr:rowOff>
    </xdr:from>
    <xdr:to>
      <xdr:col>12</xdr:col>
      <xdr:colOff>9525</xdr:colOff>
      <xdr:row>167</xdr:row>
      <xdr:rowOff>95250</xdr:rowOff>
    </xdr:to>
    <xdr:pic>
      <xdr:nvPicPr>
        <xdr:cNvPr id="37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479750"/>
          <a:ext cx="1781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171</xdr:row>
      <xdr:rowOff>19050</xdr:rowOff>
    </xdr:from>
    <xdr:to>
      <xdr:col>12</xdr:col>
      <xdr:colOff>66675</xdr:colOff>
      <xdr:row>174</xdr:row>
      <xdr:rowOff>0</xdr:rowOff>
    </xdr:to>
    <xdr:pic>
      <xdr:nvPicPr>
        <xdr:cNvPr id="3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9527500"/>
          <a:ext cx="1847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175</xdr:row>
      <xdr:rowOff>9525</xdr:rowOff>
    </xdr:from>
    <xdr:to>
      <xdr:col>16</xdr:col>
      <xdr:colOff>95250</xdr:colOff>
      <xdr:row>178</xdr:row>
      <xdr:rowOff>142875</xdr:rowOff>
    </xdr:to>
    <xdr:pic>
      <xdr:nvPicPr>
        <xdr:cNvPr id="39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0203775"/>
          <a:ext cx="2514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179</xdr:row>
      <xdr:rowOff>47625</xdr:rowOff>
    </xdr:from>
    <xdr:to>
      <xdr:col>11</xdr:col>
      <xdr:colOff>123825</xdr:colOff>
      <xdr:row>181</xdr:row>
      <xdr:rowOff>142875</xdr:rowOff>
    </xdr:to>
    <xdr:pic>
      <xdr:nvPicPr>
        <xdr:cNvPr id="40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0927675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187</xdr:row>
      <xdr:rowOff>85725</xdr:rowOff>
    </xdr:from>
    <xdr:to>
      <xdr:col>7</xdr:col>
      <xdr:colOff>0</xdr:colOff>
      <xdr:row>189</xdr:row>
      <xdr:rowOff>152400</xdr:rowOff>
    </xdr:to>
    <xdr:pic>
      <xdr:nvPicPr>
        <xdr:cNvPr id="41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3234690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317</xdr:row>
      <xdr:rowOff>114300</xdr:rowOff>
    </xdr:from>
    <xdr:to>
      <xdr:col>31</xdr:col>
      <xdr:colOff>9525</xdr:colOff>
      <xdr:row>341</xdr:row>
      <xdr:rowOff>47625</xdr:rowOff>
    </xdr:to>
    <xdr:pic>
      <xdr:nvPicPr>
        <xdr:cNvPr id="42" name="Picture 1508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54825900"/>
          <a:ext cx="476250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76200</xdr:colOff>
      <xdr:row>319</xdr:row>
      <xdr:rowOff>95250</xdr:rowOff>
    </xdr:from>
    <xdr:to>
      <xdr:col>41</xdr:col>
      <xdr:colOff>85725</xdr:colOff>
      <xdr:row>323</xdr:row>
      <xdr:rowOff>0</xdr:rowOff>
    </xdr:to>
    <xdr:pic>
      <xdr:nvPicPr>
        <xdr:cNvPr id="43" name="Picture 1525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14975" y="55130700"/>
          <a:ext cx="1257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380</xdr:row>
      <xdr:rowOff>133350</xdr:rowOff>
    </xdr:from>
    <xdr:to>
      <xdr:col>33</xdr:col>
      <xdr:colOff>57150</xdr:colOff>
      <xdr:row>399</xdr:row>
      <xdr:rowOff>123825</xdr:rowOff>
    </xdr:to>
    <xdr:pic>
      <xdr:nvPicPr>
        <xdr:cNvPr id="44" name="Picture 165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6225" y="65417700"/>
          <a:ext cx="49339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401</xdr:row>
      <xdr:rowOff>152400</xdr:rowOff>
    </xdr:from>
    <xdr:to>
      <xdr:col>23</xdr:col>
      <xdr:colOff>85725</xdr:colOff>
      <xdr:row>404</xdr:row>
      <xdr:rowOff>47625</xdr:rowOff>
    </xdr:to>
    <xdr:pic>
      <xdr:nvPicPr>
        <xdr:cNvPr id="45" name="Picture 1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52425" y="68875275"/>
          <a:ext cx="3390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407</xdr:row>
      <xdr:rowOff>47625</xdr:rowOff>
    </xdr:from>
    <xdr:to>
      <xdr:col>10</xdr:col>
      <xdr:colOff>0</xdr:colOff>
      <xdr:row>409</xdr:row>
      <xdr:rowOff>152400</xdr:rowOff>
    </xdr:to>
    <xdr:pic>
      <xdr:nvPicPr>
        <xdr:cNvPr id="46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981825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412</xdr:row>
      <xdr:rowOff>47625</xdr:rowOff>
    </xdr:from>
    <xdr:to>
      <xdr:col>7</xdr:col>
      <xdr:colOff>9525</xdr:colOff>
      <xdr:row>415</xdr:row>
      <xdr:rowOff>47625</xdr:rowOff>
    </xdr:to>
    <xdr:pic>
      <xdr:nvPicPr>
        <xdr:cNvPr id="47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7071360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415</xdr:row>
      <xdr:rowOff>152400</xdr:rowOff>
    </xdr:from>
    <xdr:to>
      <xdr:col>23</xdr:col>
      <xdr:colOff>0</xdr:colOff>
      <xdr:row>419</xdr:row>
      <xdr:rowOff>114300</xdr:rowOff>
    </xdr:to>
    <xdr:pic>
      <xdr:nvPicPr>
        <xdr:cNvPr id="48" name="Picture 1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71351775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422</xdr:row>
      <xdr:rowOff>9525</xdr:rowOff>
    </xdr:from>
    <xdr:to>
      <xdr:col>9</xdr:col>
      <xdr:colOff>19050</xdr:colOff>
      <xdr:row>424</xdr:row>
      <xdr:rowOff>104775</xdr:rowOff>
    </xdr:to>
    <xdr:pic>
      <xdr:nvPicPr>
        <xdr:cNvPr id="49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72380475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426</xdr:row>
      <xdr:rowOff>95250</xdr:rowOff>
    </xdr:from>
    <xdr:to>
      <xdr:col>6</xdr:col>
      <xdr:colOff>66675</xdr:colOff>
      <xdr:row>429</xdr:row>
      <xdr:rowOff>0</xdr:rowOff>
    </xdr:to>
    <xdr:pic>
      <xdr:nvPicPr>
        <xdr:cNvPr id="50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7319962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407</xdr:row>
      <xdr:rowOff>47625</xdr:rowOff>
    </xdr:from>
    <xdr:to>
      <xdr:col>10</xdr:col>
      <xdr:colOff>0</xdr:colOff>
      <xdr:row>409</xdr:row>
      <xdr:rowOff>152400</xdr:rowOff>
    </xdr:to>
    <xdr:pic>
      <xdr:nvPicPr>
        <xdr:cNvPr id="51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9818250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412</xdr:row>
      <xdr:rowOff>47625</xdr:rowOff>
    </xdr:from>
    <xdr:to>
      <xdr:col>7</xdr:col>
      <xdr:colOff>9525</xdr:colOff>
      <xdr:row>415</xdr:row>
      <xdr:rowOff>47625</xdr:rowOff>
    </xdr:to>
    <xdr:pic>
      <xdr:nvPicPr>
        <xdr:cNvPr id="52" name="Picture 1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7071360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415</xdr:row>
      <xdr:rowOff>152400</xdr:rowOff>
    </xdr:from>
    <xdr:to>
      <xdr:col>23</xdr:col>
      <xdr:colOff>0</xdr:colOff>
      <xdr:row>419</xdr:row>
      <xdr:rowOff>114300</xdr:rowOff>
    </xdr:to>
    <xdr:pic>
      <xdr:nvPicPr>
        <xdr:cNvPr id="53" name="Picture 1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71351775"/>
          <a:ext cx="3448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422</xdr:row>
      <xdr:rowOff>9525</xdr:rowOff>
    </xdr:from>
    <xdr:to>
      <xdr:col>9</xdr:col>
      <xdr:colOff>19050</xdr:colOff>
      <xdr:row>424</xdr:row>
      <xdr:rowOff>104775</xdr:rowOff>
    </xdr:to>
    <xdr:pic>
      <xdr:nvPicPr>
        <xdr:cNvPr id="54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72380475"/>
          <a:ext cx="1314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426</xdr:row>
      <xdr:rowOff>95250</xdr:rowOff>
    </xdr:from>
    <xdr:to>
      <xdr:col>6</xdr:col>
      <xdr:colOff>66675</xdr:colOff>
      <xdr:row>429</xdr:row>
      <xdr:rowOff>0</xdr:rowOff>
    </xdr:to>
    <xdr:pic>
      <xdr:nvPicPr>
        <xdr:cNvPr id="55" name="Picture 1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" y="73199625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477</xdr:row>
      <xdr:rowOff>85725</xdr:rowOff>
    </xdr:from>
    <xdr:to>
      <xdr:col>26</xdr:col>
      <xdr:colOff>219075</xdr:colOff>
      <xdr:row>493</xdr:row>
      <xdr:rowOff>161925</xdr:rowOff>
    </xdr:to>
    <xdr:pic>
      <xdr:nvPicPr>
        <xdr:cNvPr id="56" name="Picture 1945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85825" y="82257900"/>
          <a:ext cx="34194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507</xdr:row>
      <xdr:rowOff>133350</xdr:rowOff>
    </xdr:from>
    <xdr:to>
      <xdr:col>17</xdr:col>
      <xdr:colOff>19050</xdr:colOff>
      <xdr:row>510</xdr:row>
      <xdr:rowOff>114300</xdr:rowOff>
    </xdr:to>
    <xdr:pic>
      <xdr:nvPicPr>
        <xdr:cNvPr id="57" name="Picture 1958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5725" y="87677625"/>
          <a:ext cx="270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513</xdr:row>
      <xdr:rowOff>28575</xdr:rowOff>
    </xdr:from>
    <xdr:to>
      <xdr:col>8</xdr:col>
      <xdr:colOff>47625</xdr:colOff>
      <xdr:row>515</xdr:row>
      <xdr:rowOff>133350</xdr:rowOff>
    </xdr:to>
    <xdr:pic>
      <xdr:nvPicPr>
        <xdr:cNvPr id="58" name="Picture 1967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88582500"/>
          <a:ext cx="1123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517</xdr:row>
      <xdr:rowOff>85725</xdr:rowOff>
    </xdr:from>
    <xdr:to>
      <xdr:col>5</xdr:col>
      <xdr:colOff>219075</xdr:colOff>
      <xdr:row>520</xdr:row>
      <xdr:rowOff>9525</xdr:rowOff>
    </xdr:to>
    <xdr:pic>
      <xdr:nvPicPr>
        <xdr:cNvPr id="59" name="Picture 1967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95250" y="89334975"/>
          <a:ext cx="904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520</xdr:row>
      <xdr:rowOff>114300</xdr:rowOff>
    </xdr:from>
    <xdr:to>
      <xdr:col>16</xdr:col>
      <xdr:colOff>123825</xdr:colOff>
      <xdr:row>524</xdr:row>
      <xdr:rowOff>19050</xdr:rowOff>
    </xdr:to>
    <xdr:pic>
      <xdr:nvPicPr>
        <xdr:cNvPr id="60" name="Picture 19675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71475" y="89887425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526</xdr:row>
      <xdr:rowOff>133350</xdr:rowOff>
    </xdr:from>
    <xdr:to>
      <xdr:col>8</xdr:col>
      <xdr:colOff>171450</xdr:colOff>
      <xdr:row>529</xdr:row>
      <xdr:rowOff>114300</xdr:rowOff>
    </xdr:to>
    <xdr:pic>
      <xdr:nvPicPr>
        <xdr:cNvPr id="61" name="Picture 1967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09575" y="90916125"/>
          <a:ext cx="1076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531</xdr:row>
      <xdr:rowOff>57150</xdr:rowOff>
    </xdr:from>
    <xdr:to>
      <xdr:col>7</xdr:col>
      <xdr:colOff>0</xdr:colOff>
      <xdr:row>534</xdr:row>
      <xdr:rowOff>38100</xdr:rowOff>
    </xdr:to>
    <xdr:pic>
      <xdr:nvPicPr>
        <xdr:cNvPr id="62" name="Picture 1968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3825" y="9173527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534</xdr:row>
      <xdr:rowOff>0</xdr:rowOff>
    </xdr:from>
    <xdr:to>
      <xdr:col>25</xdr:col>
      <xdr:colOff>57150</xdr:colOff>
      <xdr:row>536</xdr:row>
      <xdr:rowOff>28575</xdr:rowOff>
    </xdr:to>
    <xdr:pic>
      <xdr:nvPicPr>
        <xdr:cNvPr id="63" name="Picture 1968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95250" y="92202000"/>
          <a:ext cx="3905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85725</xdr:colOff>
      <xdr:row>507</xdr:row>
      <xdr:rowOff>57150</xdr:rowOff>
    </xdr:from>
    <xdr:ext cx="3095625" cy="381000"/>
    <xdr:sp>
      <xdr:nvSpPr>
        <xdr:cNvPr id="64" name="AutoShape 19542"/>
        <xdr:cNvSpPr>
          <a:spLocks noChangeAspect="1"/>
        </xdr:cNvSpPr>
      </xdr:nvSpPr>
      <xdr:spPr>
        <a:xfrm>
          <a:off x="295275" y="87601425"/>
          <a:ext cx="3095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oneCellAnchor>
  <xdr:twoCellAnchor editAs="oneCell">
    <xdr:from>
      <xdr:col>3</xdr:col>
      <xdr:colOff>57150</xdr:colOff>
      <xdr:row>552</xdr:row>
      <xdr:rowOff>47625</xdr:rowOff>
    </xdr:from>
    <xdr:to>
      <xdr:col>10</xdr:col>
      <xdr:colOff>28575</xdr:colOff>
      <xdr:row>554</xdr:row>
      <xdr:rowOff>142875</xdr:rowOff>
    </xdr:to>
    <xdr:pic>
      <xdr:nvPicPr>
        <xdr:cNvPr id="65" name="Picture 1997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52450" y="9544050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559</xdr:row>
      <xdr:rowOff>133350</xdr:rowOff>
    </xdr:from>
    <xdr:to>
      <xdr:col>11</xdr:col>
      <xdr:colOff>85725</xdr:colOff>
      <xdr:row>562</xdr:row>
      <xdr:rowOff>142875</xdr:rowOff>
    </xdr:to>
    <xdr:pic>
      <xdr:nvPicPr>
        <xdr:cNvPr id="66" name="Picture 2007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4800" y="96735900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618</xdr:row>
      <xdr:rowOff>123825</xdr:rowOff>
    </xdr:from>
    <xdr:to>
      <xdr:col>40</xdr:col>
      <xdr:colOff>47625</xdr:colOff>
      <xdr:row>631</xdr:row>
      <xdr:rowOff>66675</xdr:rowOff>
    </xdr:to>
    <xdr:pic>
      <xdr:nvPicPr>
        <xdr:cNvPr id="67" name="Picture 2082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52425" y="107061000"/>
          <a:ext cx="6238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678</xdr:row>
      <xdr:rowOff>95250</xdr:rowOff>
    </xdr:from>
    <xdr:to>
      <xdr:col>25</xdr:col>
      <xdr:colOff>76200</xdr:colOff>
      <xdr:row>700</xdr:row>
      <xdr:rowOff>38100</xdr:rowOff>
    </xdr:to>
    <xdr:pic>
      <xdr:nvPicPr>
        <xdr:cNvPr id="68" name="Picture 2138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66700" y="117595650"/>
          <a:ext cx="37528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680</xdr:row>
      <xdr:rowOff>66675</xdr:rowOff>
    </xdr:from>
    <xdr:to>
      <xdr:col>45</xdr:col>
      <xdr:colOff>123825</xdr:colOff>
      <xdr:row>693</xdr:row>
      <xdr:rowOff>38100</xdr:rowOff>
    </xdr:to>
    <xdr:pic>
      <xdr:nvPicPr>
        <xdr:cNvPr id="69" name="Picture 2138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705350" y="117890925"/>
          <a:ext cx="28003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703</xdr:row>
      <xdr:rowOff>0</xdr:rowOff>
    </xdr:from>
    <xdr:to>
      <xdr:col>44</xdr:col>
      <xdr:colOff>104775</xdr:colOff>
      <xdr:row>731</xdr:row>
      <xdr:rowOff>133350</xdr:rowOff>
    </xdr:to>
    <xdr:pic>
      <xdr:nvPicPr>
        <xdr:cNvPr id="70" name="Picture 2146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6200" y="121548525"/>
          <a:ext cx="718185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42"/>
  <sheetViews>
    <sheetView showGridLines="0" tabSelected="1" zoomScale="89" zoomScaleNormal="89" zoomScalePageLayoutView="0" workbookViewId="0" topLeftCell="A543">
      <selection activeCell="AY667" sqref="AY667"/>
    </sheetView>
  </sheetViews>
  <sheetFormatPr defaultColWidth="9.00390625" defaultRowHeight="12.75"/>
  <cols>
    <col min="1" max="1" width="2.75390625" style="2" customWidth="1"/>
    <col min="2" max="5" width="1.875" style="2" customWidth="1"/>
    <col min="6" max="6" width="3.25390625" style="2" customWidth="1"/>
    <col min="7" max="7" width="1.875" style="2" customWidth="1"/>
    <col min="8" max="8" width="1.875" style="5" customWidth="1"/>
    <col min="9" max="9" width="3.25390625" style="5" customWidth="1"/>
    <col min="10" max="13" width="1.875" style="2" customWidth="1"/>
    <col min="14" max="14" width="2.75390625" style="2" customWidth="1"/>
    <col min="15" max="18" width="1.875" style="2" customWidth="1"/>
    <col min="19" max="19" width="2.75390625" style="2" customWidth="1"/>
    <col min="20" max="20" width="1.875" style="2" customWidth="1"/>
    <col min="21" max="21" width="1.37890625" style="2" customWidth="1"/>
    <col min="22" max="26" width="1.875" style="2" customWidth="1"/>
    <col min="27" max="27" width="3.00390625" style="2" customWidth="1"/>
    <col min="28" max="28" width="3.125" style="2" customWidth="1"/>
    <col min="29" max="29" width="0.37109375" style="2" customWidth="1"/>
    <col min="30" max="35" width="1.875" style="2" customWidth="1"/>
    <col min="36" max="36" width="2.875" style="2" customWidth="1"/>
    <col min="37" max="37" width="3.25390625" style="2" customWidth="1"/>
    <col min="38" max="38" width="1.875" style="2" customWidth="1"/>
    <col min="39" max="39" width="4.625" style="2" customWidth="1"/>
    <col min="40" max="43" width="1.875" style="2" customWidth="1"/>
    <col min="44" max="44" width="2.375" style="2" customWidth="1"/>
    <col min="45" max="45" width="3.00390625" style="2" customWidth="1"/>
    <col min="46" max="50" width="1.875" style="2" customWidth="1"/>
    <col min="51" max="51" width="4.125" style="2" customWidth="1"/>
    <col min="52" max="16384" width="9.125" style="2" customWidth="1"/>
  </cols>
  <sheetData>
    <row r="1" ht="12.75">
      <c r="A1" s="145"/>
    </row>
    <row r="2" spans="1:54" ht="12.75">
      <c r="A2" s="145"/>
      <c r="AZ2" s="4"/>
      <c r="BA2" s="4"/>
      <c r="BB2" s="4"/>
    </row>
    <row r="3" spans="1:49" ht="20.25">
      <c r="A3" s="370" t="s">
        <v>528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  <c r="AW3" s="371"/>
    </row>
    <row r="4" ht="12.75">
      <c r="A4" s="146"/>
    </row>
    <row r="5" spans="1:55" ht="15.75">
      <c r="A5" s="326" t="s">
        <v>396</v>
      </c>
      <c r="B5" s="327"/>
      <c r="C5" s="327"/>
      <c r="D5" s="327"/>
      <c r="E5" s="327"/>
      <c r="F5" s="327"/>
      <c r="G5" s="327"/>
      <c r="H5" s="327"/>
      <c r="I5" s="328"/>
      <c r="J5" s="258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1"/>
      <c r="AZ5" s="5"/>
      <c r="BC5" s="24"/>
    </row>
    <row r="6" spans="1:49" ht="15.75">
      <c r="A6" s="326" t="s">
        <v>397</v>
      </c>
      <c r="B6" s="327"/>
      <c r="C6" s="327"/>
      <c r="D6" s="327"/>
      <c r="E6" s="327"/>
      <c r="F6" s="327"/>
      <c r="G6" s="327"/>
      <c r="H6" s="327"/>
      <c r="I6" s="328"/>
      <c r="J6" s="258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60"/>
      <c r="AU6" s="260"/>
      <c r="AV6" s="260"/>
      <c r="AW6" s="261"/>
    </row>
    <row r="7" spans="1:49" ht="15.75">
      <c r="A7" s="326" t="s">
        <v>398</v>
      </c>
      <c r="B7" s="327"/>
      <c r="C7" s="327"/>
      <c r="D7" s="327"/>
      <c r="E7" s="327"/>
      <c r="F7" s="327"/>
      <c r="G7" s="327"/>
      <c r="H7" s="327"/>
      <c r="I7" s="328"/>
      <c r="J7" s="258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1"/>
    </row>
    <row r="8" spans="1:49" ht="15.75">
      <c r="A8" s="326" t="s">
        <v>399</v>
      </c>
      <c r="B8" s="327"/>
      <c r="C8" s="327"/>
      <c r="D8" s="327"/>
      <c r="E8" s="327"/>
      <c r="F8" s="327"/>
      <c r="G8" s="327"/>
      <c r="H8" s="327"/>
      <c r="I8" s="328"/>
      <c r="J8" s="258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1"/>
    </row>
    <row r="9" spans="1:49" ht="15.75">
      <c r="A9" s="326" t="s">
        <v>400</v>
      </c>
      <c r="B9" s="327"/>
      <c r="C9" s="327"/>
      <c r="D9" s="327"/>
      <c r="E9" s="327"/>
      <c r="F9" s="327"/>
      <c r="G9" s="327"/>
      <c r="H9" s="327"/>
      <c r="I9" s="328"/>
      <c r="J9" s="329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1"/>
    </row>
    <row r="10" spans="1:49" ht="12.75">
      <c r="A10" s="331" t="s">
        <v>628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3"/>
    </row>
    <row r="11" spans="1:49" ht="12.75">
      <c r="A11" s="332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2"/>
    </row>
    <row r="12" spans="1:49" ht="12.75">
      <c r="A12" s="333" t="s">
        <v>495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</row>
    <row r="13" spans="1:49" ht="14.25">
      <c r="A13" s="195">
        <v>1</v>
      </c>
      <c r="B13" s="271" t="s">
        <v>401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3"/>
      <c r="AJ13" s="336" t="s">
        <v>402</v>
      </c>
      <c r="AK13" s="290"/>
      <c r="AL13" s="193" t="s">
        <v>424</v>
      </c>
      <c r="AM13" s="286">
        <v>600</v>
      </c>
      <c r="AN13" s="286"/>
      <c r="AO13" s="286"/>
      <c r="AP13" s="286"/>
      <c r="AQ13" s="286"/>
      <c r="AR13" s="153" t="s">
        <v>425</v>
      </c>
      <c r="AS13" s="154"/>
      <c r="AT13" s="335"/>
      <c r="AU13" s="263"/>
      <c r="AV13" s="263"/>
      <c r="AW13" s="264"/>
    </row>
    <row r="14" spans="1:49" ht="14.25">
      <c r="A14" s="196">
        <v>2</v>
      </c>
      <c r="B14" s="361" t="s">
        <v>403</v>
      </c>
      <c r="C14" s="362"/>
      <c r="D14" s="362"/>
      <c r="E14" s="362"/>
      <c r="F14" s="362"/>
      <c r="G14" s="362"/>
      <c r="H14" s="362"/>
      <c r="I14" s="362"/>
      <c r="J14" s="36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3"/>
      <c r="AJ14" s="289" t="s">
        <v>430</v>
      </c>
      <c r="AK14" s="290"/>
      <c r="AL14" s="192" t="s">
        <v>424</v>
      </c>
      <c r="AM14" s="227">
        <v>400</v>
      </c>
      <c r="AN14" s="227"/>
      <c r="AO14" s="227"/>
      <c r="AP14" s="227"/>
      <c r="AQ14" s="227"/>
      <c r="AR14" s="153" t="s">
        <v>425</v>
      </c>
      <c r="AS14" s="154"/>
      <c r="AT14" s="265"/>
      <c r="AU14" s="266"/>
      <c r="AV14" s="266"/>
      <c r="AW14" s="267"/>
    </row>
    <row r="15" spans="1:49" ht="14.25">
      <c r="A15" s="196">
        <v>3</v>
      </c>
      <c r="B15" s="440" t="s">
        <v>404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38"/>
      <c r="AJ15" s="437" t="s">
        <v>133</v>
      </c>
      <c r="AK15" s="438"/>
      <c r="AL15" s="439" t="s">
        <v>424</v>
      </c>
      <c r="AM15" s="221">
        <v>1250</v>
      </c>
      <c r="AN15" s="221"/>
      <c r="AO15" s="221"/>
      <c r="AP15" s="221"/>
      <c r="AQ15" s="221"/>
      <c r="AR15" s="153" t="s">
        <v>426</v>
      </c>
      <c r="AS15" s="155"/>
      <c r="AT15" s="265"/>
      <c r="AU15" s="266"/>
      <c r="AV15" s="266"/>
      <c r="AW15" s="267"/>
    </row>
    <row r="16" spans="1:49" ht="14.25">
      <c r="A16" s="196">
        <v>4</v>
      </c>
      <c r="B16" s="440" t="s">
        <v>405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1"/>
      <c r="AA16" s="441"/>
      <c r="AB16" s="441"/>
      <c r="AC16" s="441"/>
      <c r="AD16" s="441"/>
      <c r="AE16" s="441"/>
      <c r="AF16" s="441"/>
      <c r="AG16" s="441"/>
      <c r="AH16" s="441"/>
      <c r="AI16" s="438"/>
      <c r="AJ16" s="437" t="s">
        <v>431</v>
      </c>
      <c r="AK16" s="438"/>
      <c r="AL16" s="439" t="s">
        <v>424</v>
      </c>
      <c r="AM16" s="221">
        <v>2800</v>
      </c>
      <c r="AN16" s="221"/>
      <c r="AO16" s="221"/>
      <c r="AP16" s="221"/>
      <c r="AQ16" s="221"/>
      <c r="AR16" s="153" t="s">
        <v>426</v>
      </c>
      <c r="AS16" s="155"/>
      <c r="AT16" s="268"/>
      <c r="AU16" s="269"/>
      <c r="AV16" s="269"/>
      <c r="AW16" s="270"/>
    </row>
    <row r="17" spans="1:50" ht="12.75">
      <c r="A17" s="196">
        <v>5</v>
      </c>
      <c r="B17" s="271" t="s">
        <v>406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3"/>
      <c r="AB17" s="156" t="s">
        <v>424</v>
      </c>
      <c r="AC17" s="274" t="s">
        <v>97</v>
      </c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5"/>
      <c r="AS17" s="275"/>
      <c r="AT17" s="275"/>
      <c r="AU17" s="275"/>
      <c r="AV17" s="275"/>
      <c r="AW17" s="275"/>
      <c r="AX17" s="9"/>
    </row>
    <row r="18" spans="1:49" ht="14.25" customHeight="1">
      <c r="A18" s="196">
        <v>6</v>
      </c>
      <c r="B18" s="271" t="s">
        <v>407</v>
      </c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3"/>
      <c r="AJ18" s="224" t="s">
        <v>427</v>
      </c>
      <c r="AK18" s="224"/>
      <c r="AL18" s="192" t="s">
        <v>424</v>
      </c>
      <c r="AM18" s="227">
        <v>1100</v>
      </c>
      <c r="AN18" s="227"/>
      <c r="AO18" s="227"/>
      <c r="AP18" s="227"/>
      <c r="AQ18" s="227"/>
      <c r="AR18" s="164" t="s">
        <v>426</v>
      </c>
      <c r="AS18" s="165"/>
      <c r="AT18" s="337"/>
      <c r="AU18" s="338"/>
      <c r="AV18" s="338"/>
      <c r="AW18" s="339"/>
    </row>
    <row r="19" spans="1:49" ht="14.25" customHeight="1">
      <c r="A19" s="196">
        <v>7</v>
      </c>
      <c r="B19" s="271" t="s">
        <v>408</v>
      </c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3"/>
      <c r="AJ19" s="224" t="s">
        <v>428</v>
      </c>
      <c r="AK19" s="224"/>
      <c r="AL19" s="192" t="s">
        <v>424</v>
      </c>
      <c r="AM19" s="227">
        <v>1300</v>
      </c>
      <c r="AN19" s="227"/>
      <c r="AO19" s="227"/>
      <c r="AP19" s="227"/>
      <c r="AQ19" s="227"/>
      <c r="AR19" s="164" t="s">
        <v>426</v>
      </c>
      <c r="AS19" s="165"/>
      <c r="AT19" s="340"/>
      <c r="AU19" s="341"/>
      <c r="AV19" s="341"/>
      <c r="AW19" s="342"/>
    </row>
    <row r="20" spans="1:49" ht="15">
      <c r="A20" s="196">
        <v>8</v>
      </c>
      <c r="B20" s="271" t="s">
        <v>409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3"/>
      <c r="AJ20" s="289" t="s">
        <v>432</v>
      </c>
      <c r="AK20" s="290"/>
      <c r="AL20" s="192" t="s">
        <v>424</v>
      </c>
      <c r="AM20" s="288">
        <v>1</v>
      </c>
      <c r="AN20" s="288"/>
      <c r="AO20" s="288"/>
      <c r="AP20" s="163"/>
      <c r="AQ20" s="163"/>
      <c r="AR20" s="164" t="s">
        <v>434</v>
      </c>
      <c r="AS20" s="165"/>
      <c r="AT20" s="340"/>
      <c r="AU20" s="341"/>
      <c r="AV20" s="341"/>
      <c r="AW20" s="342"/>
    </row>
    <row r="21" spans="1:49" ht="15">
      <c r="A21" s="196">
        <v>9</v>
      </c>
      <c r="B21" s="271" t="s">
        <v>410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3"/>
      <c r="AJ21" s="442" t="s">
        <v>435</v>
      </c>
      <c r="AK21" s="442"/>
      <c r="AL21" s="443" t="s">
        <v>424</v>
      </c>
      <c r="AM21" s="227">
        <v>8.7</v>
      </c>
      <c r="AN21" s="227"/>
      <c r="AO21" s="227"/>
      <c r="AP21" s="227"/>
      <c r="AQ21" s="227"/>
      <c r="AR21" s="164" t="s">
        <v>433</v>
      </c>
      <c r="AS21" s="165"/>
      <c r="AT21" s="340"/>
      <c r="AU21" s="341"/>
      <c r="AV21" s="341"/>
      <c r="AW21" s="342"/>
    </row>
    <row r="22" spans="1:49" ht="15">
      <c r="A22" s="196">
        <v>10</v>
      </c>
      <c r="B22" s="346" t="s">
        <v>411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8"/>
      <c r="AK22" s="192" t="s">
        <v>429</v>
      </c>
      <c r="AL22" s="192" t="s">
        <v>424</v>
      </c>
      <c r="AM22" s="285">
        <v>40</v>
      </c>
      <c r="AN22" s="285"/>
      <c r="AO22" s="166"/>
      <c r="AP22" s="337"/>
      <c r="AQ22" s="349"/>
      <c r="AR22" s="164" t="s">
        <v>425</v>
      </c>
      <c r="AS22" s="165"/>
      <c r="AT22" s="340"/>
      <c r="AU22" s="341"/>
      <c r="AV22" s="341"/>
      <c r="AW22" s="342"/>
    </row>
    <row r="23" spans="1:49" ht="15">
      <c r="A23" s="196">
        <v>11</v>
      </c>
      <c r="B23" s="346" t="s">
        <v>412</v>
      </c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8"/>
      <c r="AK23" s="192" t="s">
        <v>436</v>
      </c>
      <c r="AL23" s="192" t="s">
        <v>424</v>
      </c>
      <c r="AM23" s="221">
        <v>785</v>
      </c>
      <c r="AN23" s="221"/>
      <c r="AO23" s="221"/>
      <c r="AP23" s="350"/>
      <c r="AQ23" s="351"/>
      <c r="AR23" s="164" t="s">
        <v>426</v>
      </c>
      <c r="AS23" s="165"/>
      <c r="AT23" s="340"/>
      <c r="AU23" s="341"/>
      <c r="AV23" s="341"/>
      <c r="AW23" s="342"/>
    </row>
    <row r="24" spans="1:49" ht="15">
      <c r="A24" s="196">
        <v>12</v>
      </c>
      <c r="B24" s="346" t="s">
        <v>413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/>
      <c r="AJ24" s="348"/>
      <c r="AK24" s="192" t="s">
        <v>437</v>
      </c>
      <c r="AL24" s="192" t="s">
        <v>424</v>
      </c>
      <c r="AM24" s="167">
        <v>0</v>
      </c>
      <c r="AN24" s="360"/>
      <c r="AO24" s="339"/>
      <c r="AP24" s="350"/>
      <c r="AQ24" s="351"/>
      <c r="AR24" s="164" t="s">
        <v>426</v>
      </c>
      <c r="AS24" s="165"/>
      <c r="AT24" s="340"/>
      <c r="AU24" s="341"/>
      <c r="AV24" s="341"/>
      <c r="AW24" s="342"/>
    </row>
    <row r="25" spans="1:49" ht="15">
      <c r="A25" s="196">
        <v>13</v>
      </c>
      <c r="B25" s="346" t="s">
        <v>414</v>
      </c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7"/>
      <c r="AD25" s="347"/>
      <c r="AE25" s="347"/>
      <c r="AF25" s="347"/>
      <c r="AG25" s="347"/>
      <c r="AH25" s="347"/>
      <c r="AI25" s="347"/>
      <c r="AJ25" s="348"/>
      <c r="AK25" s="192" t="s">
        <v>438</v>
      </c>
      <c r="AL25" s="192" t="s">
        <v>424</v>
      </c>
      <c r="AM25" s="167">
        <v>0</v>
      </c>
      <c r="AN25" s="340"/>
      <c r="AO25" s="342"/>
      <c r="AP25" s="350"/>
      <c r="AQ25" s="351"/>
      <c r="AR25" s="164" t="s">
        <v>426</v>
      </c>
      <c r="AS25" s="165"/>
      <c r="AT25" s="340"/>
      <c r="AU25" s="341"/>
      <c r="AV25" s="341"/>
      <c r="AW25" s="342"/>
    </row>
    <row r="26" spans="1:49" ht="15">
      <c r="A26" s="196">
        <v>14</v>
      </c>
      <c r="B26" s="346" t="s">
        <v>415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7"/>
      <c r="AD26" s="347"/>
      <c r="AE26" s="347"/>
      <c r="AF26" s="347"/>
      <c r="AG26" s="347"/>
      <c r="AH26" s="347"/>
      <c r="AI26" s="347"/>
      <c r="AJ26" s="348"/>
      <c r="AK26" s="192" t="s">
        <v>439</v>
      </c>
      <c r="AL26" s="192" t="s">
        <v>424</v>
      </c>
      <c r="AM26" s="167">
        <v>0</v>
      </c>
      <c r="AN26" s="343"/>
      <c r="AO26" s="345"/>
      <c r="AP26" s="350"/>
      <c r="AQ26" s="351"/>
      <c r="AR26" s="164" t="s">
        <v>426</v>
      </c>
      <c r="AS26" s="165"/>
      <c r="AT26" s="340"/>
      <c r="AU26" s="341"/>
      <c r="AV26" s="341"/>
      <c r="AW26" s="342"/>
    </row>
    <row r="27" spans="1:49" ht="15">
      <c r="A27" s="196">
        <v>15</v>
      </c>
      <c r="B27" s="346" t="s">
        <v>416</v>
      </c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8"/>
      <c r="AK27" s="192" t="s">
        <v>440</v>
      </c>
      <c r="AL27" s="192" t="s">
        <v>424</v>
      </c>
      <c r="AM27" s="221">
        <v>785</v>
      </c>
      <c r="AN27" s="221"/>
      <c r="AO27" s="221"/>
      <c r="AP27" s="350"/>
      <c r="AQ27" s="351"/>
      <c r="AR27" s="164" t="s">
        <v>426</v>
      </c>
      <c r="AS27" s="165"/>
      <c r="AT27" s="340"/>
      <c r="AU27" s="341"/>
      <c r="AV27" s="341"/>
      <c r="AW27" s="342"/>
    </row>
    <row r="28" spans="1:49" ht="15">
      <c r="A28" s="196">
        <v>16</v>
      </c>
      <c r="B28" s="346" t="s">
        <v>417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8"/>
      <c r="AK28" s="192" t="s">
        <v>441</v>
      </c>
      <c r="AL28" s="192" t="s">
        <v>424</v>
      </c>
      <c r="AM28" s="221">
        <v>0</v>
      </c>
      <c r="AN28" s="221"/>
      <c r="AO28" s="221"/>
      <c r="AP28" s="352"/>
      <c r="AQ28" s="353"/>
      <c r="AR28" s="164" t="s">
        <v>426</v>
      </c>
      <c r="AS28" s="165"/>
      <c r="AT28" s="343"/>
      <c r="AU28" s="344"/>
      <c r="AV28" s="344"/>
      <c r="AW28" s="345"/>
    </row>
    <row r="29" spans="1:49" ht="14.25">
      <c r="A29" s="196">
        <v>17</v>
      </c>
      <c r="B29" s="346" t="s">
        <v>418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7"/>
      <c r="AD29" s="347"/>
      <c r="AE29" s="347"/>
      <c r="AF29" s="347"/>
      <c r="AG29" s="347"/>
      <c r="AH29" s="347"/>
      <c r="AI29" s="347"/>
      <c r="AJ29" s="348"/>
      <c r="AK29" s="194" t="s">
        <v>419</v>
      </c>
      <c r="AL29" s="192" t="s">
        <v>424</v>
      </c>
      <c r="AM29" s="167">
        <v>1</v>
      </c>
      <c r="AN29" s="354"/>
      <c r="AO29" s="355"/>
      <c r="AP29" s="355"/>
      <c r="AQ29" s="355"/>
      <c r="AR29" s="355"/>
      <c r="AS29" s="355"/>
      <c r="AT29" s="355"/>
      <c r="AU29" s="355"/>
      <c r="AV29" s="355"/>
      <c r="AW29" s="356"/>
    </row>
    <row r="30" spans="1:49" ht="14.25">
      <c r="A30" s="196">
        <v>18</v>
      </c>
      <c r="B30" s="346" t="s">
        <v>420</v>
      </c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8"/>
      <c r="AK30" s="194" t="s">
        <v>421</v>
      </c>
      <c r="AL30" s="192" t="s">
        <v>424</v>
      </c>
      <c r="AM30" s="444">
        <v>3.5</v>
      </c>
      <c r="AN30" s="357"/>
      <c r="AO30" s="358"/>
      <c r="AP30" s="358"/>
      <c r="AQ30" s="358"/>
      <c r="AR30" s="358"/>
      <c r="AS30" s="358"/>
      <c r="AT30" s="358"/>
      <c r="AU30" s="358"/>
      <c r="AV30" s="358"/>
      <c r="AW30" s="359"/>
    </row>
    <row r="31" spans="1:49" ht="14.25">
      <c r="A31" s="196">
        <v>19</v>
      </c>
      <c r="B31" s="271" t="s">
        <v>422</v>
      </c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3"/>
      <c r="AL31" s="156" t="s">
        <v>424</v>
      </c>
      <c r="AM31" s="227" t="s">
        <v>122</v>
      </c>
      <c r="AN31" s="227"/>
      <c r="AO31" s="227"/>
      <c r="AP31" s="227"/>
      <c r="AQ31" s="227"/>
      <c r="AR31" s="227"/>
      <c r="AS31" s="262" t="s">
        <v>629</v>
      </c>
      <c r="AT31" s="263"/>
      <c r="AU31" s="263"/>
      <c r="AV31" s="263"/>
      <c r="AW31" s="264"/>
    </row>
    <row r="32" spans="1:49" ht="15.75">
      <c r="A32" s="196">
        <v>20</v>
      </c>
      <c r="B32" s="445" t="s">
        <v>9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7"/>
      <c r="S32" s="151"/>
      <c r="T32" s="274" t="s">
        <v>13</v>
      </c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155"/>
      <c r="AK32" s="155"/>
      <c r="AL32" s="155" t="s">
        <v>424</v>
      </c>
      <c r="AM32" s="284">
        <f>IF(T32="İnsan asansörü Q&lt;2500 Kg",0.4*9.81*AM14,IF(T32="İnsan asansörü Q&gt;2500 Kg",0.6*9.81*AM14,IF(T32="Forklift ile yükleme Q&gt;2500 Kg",0.85*9.81*AM14,"Yanlış Değer")))</f>
        <v>1569.6000000000001</v>
      </c>
      <c r="AN32" s="284"/>
      <c r="AO32" s="284"/>
      <c r="AP32" s="284"/>
      <c r="AQ32" s="168" t="s">
        <v>113</v>
      </c>
      <c r="AR32" s="169"/>
      <c r="AS32" s="265"/>
      <c r="AT32" s="266"/>
      <c r="AU32" s="266"/>
      <c r="AV32" s="266"/>
      <c r="AW32" s="267"/>
    </row>
    <row r="33" spans="1:49" ht="12.75">
      <c r="A33" s="196">
        <v>21</v>
      </c>
      <c r="B33" s="271" t="s">
        <v>8</v>
      </c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3"/>
      <c r="AL33" s="152" t="s">
        <v>424</v>
      </c>
      <c r="AM33" s="278" t="s">
        <v>118</v>
      </c>
      <c r="AN33" s="278"/>
      <c r="AO33" s="278"/>
      <c r="AP33" s="278"/>
      <c r="AQ33" s="278"/>
      <c r="AR33" s="278"/>
      <c r="AS33" s="268"/>
      <c r="AT33" s="269"/>
      <c r="AU33" s="269"/>
      <c r="AV33" s="269"/>
      <c r="AW33" s="270"/>
    </row>
    <row r="34" spans="1:49" ht="15">
      <c r="A34" s="196">
        <v>22</v>
      </c>
      <c r="B34" s="271" t="s">
        <v>79</v>
      </c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3"/>
      <c r="AJ34" s="224" t="s">
        <v>491</v>
      </c>
      <c r="AK34" s="224"/>
      <c r="AL34" s="153" t="s">
        <v>424</v>
      </c>
      <c r="AM34" s="227">
        <v>480</v>
      </c>
      <c r="AN34" s="227"/>
      <c r="AO34" s="227"/>
      <c r="AP34" s="364"/>
      <c r="AQ34" s="365"/>
      <c r="AR34" s="168" t="s">
        <v>426</v>
      </c>
      <c r="AS34" s="170"/>
      <c r="AT34" s="363"/>
      <c r="AU34" s="263"/>
      <c r="AV34" s="263"/>
      <c r="AW34" s="264"/>
    </row>
    <row r="35" spans="1:49" ht="15">
      <c r="A35" s="196">
        <v>23</v>
      </c>
      <c r="B35" s="271" t="s">
        <v>80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3"/>
      <c r="AJ35" s="214" t="s">
        <v>492</v>
      </c>
      <c r="AK35" s="214"/>
      <c r="AL35" s="159" t="s">
        <v>424</v>
      </c>
      <c r="AM35" s="286">
        <v>480</v>
      </c>
      <c r="AN35" s="286"/>
      <c r="AO35" s="286"/>
      <c r="AP35" s="366"/>
      <c r="AQ35" s="367"/>
      <c r="AR35" s="171" t="s">
        <v>426</v>
      </c>
      <c r="AS35" s="172"/>
      <c r="AT35" s="265"/>
      <c r="AU35" s="266"/>
      <c r="AV35" s="266"/>
      <c r="AW35" s="267"/>
    </row>
    <row r="36" spans="1:54" ht="15">
      <c r="A36" s="196">
        <v>24</v>
      </c>
      <c r="B36" s="271" t="s">
        <v>522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3"/>
      <c r="AJ36" s="224" t="s">
        <v>7</v>
      </c>
      <c r="AK36" s="224"/>
      <c r="AL36" s="158" t="s">
        <v>424</v>
      </c>
      <c r="AM36" s="227">
        <v>10</v>
      </c>
      <c r="AN36" s="227"/>
      <c r="AO36" s="173"/>
      <c r="AP36" s="366"/>
      <c r="AQ36" s="367"/>
      <c r="AR36" s="174" t="s">
        <v>426</v>
      </c>
      <c r="AS36" s="175"/>
      <c r="AT36" s="265"/>
      <c r="AU36" s="266"/>
      <c r="AV36" s="266"/>
      <c r="AW36" s="267"/>
      <c r="AZ36" s="304"/>
      <c r="BA36" s="304"/>
      <c r="BB36" s="304"/>
    </row>
    <row r="37" spans="1:49" ht="15">
      <c r="A37" s="196">
        <v>25</v>
      </c>
      <c r="B37" s="271" t="s">
        <v>81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3"/>
      <c r="AJ37" s="224" t="s">
        <v>494</v>
      </c>
      <c r="AK37" s="224"/>
      <c r="AL37" s="158" t="s">
        <v>424</v>
      </c>
      <c r="AM37" s="227">
        <v>5</v>
      </c>
      <c r="AN37" s="227"/>
      <c r="AO37" s="173"/>
      <c r="AP37" s="366"/>
      <c r="AQ37" s="367"/>
      <c r="AR37" s="174"/>
      <c r="AS37" s="175"/>
      <c r="AT37" s="265"/>
      <c r="AU37" s="266"/>
      <c r="AV37" s="266"/>
      <c r="AW37" s="267"/>
    </row>
    <row r="38" spans="1:49" ht="14.25">
      <c r="A38" s="196">
        <v>26</v>
      </c>
      <c r="B38" s="271" t="s">
        <v>82</v>
      </c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3"/>
      <c r="AJ38" s="224" t="s">
        <v>83</v>
      </c>
      <c r="AK38" s="224"/>
      <c r="AL38" s="158" t="s">
        <v>424</v>
      </c>
      <c r="AM38" s="227">
        <v>1</v>
      </c>
      <c r="AN38" s="227"/>
      <c r="AO38" s="173"/>
      <c r="AP38" s="366"/>
      <c r="AQ38" s="367"/>
      <c r="AR38" s="174"/>
      <c r="AS38" s="175"/>
      <c r="AT38" s="265"/>
      <c r="AU38" s="266"/>
      <c r="AV38" s="266"/>
      <c r="AW38" s="267"/>
    </row>
    <row r="39" spans="1:49" ht="14.25">
      <c r="A39" s="196">
        <v>27</v>
      </c>
      <c r="B39" s="271" t="s">
        <v>493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3"/>
      <c r="AL39" s="158" t="s">
        <v>424</v>
      </c>
      <c r="AM39" s="221">
        <v>22</v>
      </c>
      <c r="AN39" s="221"/>
      <c r="AO39" s="174"/>
      <c r="AP39" s="368"/>
      <c r="AQ39" s="369"/>
      <c r="AR39" s="174" t="s">
        <v>426</v>
      </c>
      <c r="AS39" s="176"/>
      <c r="AT39" s="268"/>
      <c r="AU39" s="269"/>
      <c r="AV39" s="269"/>
      <c r="AW39" s="270"/>
    </row>
    <row r="40" spans="1:46" ht="12.75">
      <c r="A40" s="145"/>
      <c r="B40" s="10"/>
      <c r="C40" s="10"/>
      <c r="D40" s="10"/>
      <c r="E40" s="10"/>
      <c r="F40" s="10"/>
      <c r="G40" s="10"/>
      <c r="H40" s="7"/>
      <c r="I40" s="7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ht="12.75">
      <c r="A41" s="145"/>
    </row>
    <row r="42" ht="12.75">
      <c r="A42" s="145"/>
    </row>
    <row r="43" ht="12.75">
      <c r="A43" s="145"/>
    </row>
    <row r="44" ht="12.75">
      <c r="A44" s="145"/>
    </row>
    <row r="45" ht="12.75">
      <c r="A45" s="145"/>
    </row>
    <row r="46" ht="12.75">
      <c r="A46" s="145"/>
    </row>
    <row r="47" ht="12.75">
      <c r="A47" s="145"/>
    </row>
    <row r="48" spans="1:9" ht="12.75">
      <c r="A48" s="145"/>
      <c r="H48" s="2"/>
      <c r="I48" s="2"/>
    </row>
    <row r="49" spans="1:9" ht="12.75">
      <c r="A49" s="145"/>
      <c r="H49" s="2"/>
      <c r="I49" s="2"/>
    </row>
    <row r="50" spans="1:9" ht="12.75">
      <c r="A50" s="145"/>
      <c r="H50" s="2"/>
      <c r="I50" s="2"/>
    </row>
    <row r="51" spans="1:9" ht="12.75">
      <c r="A51" s="145"/>
      <c r="H51" s="2"/>
      <c r="I51" s="2"/>
    </row>
    <row r="52" spans="1:9" ht="12.75">
      <c r="A52" s="145"/>
      <c r="H52" s="2"/>
      <c r="I52" s="2"/>
    </row>
    <row r="53" spans="1:9" ht="12.75">
      <c r="A53" s="145"/>
      <c r="H53" s="2"/>
      <c r="I53" s="2"/>
    </row>
    <row r="54" spans="1:9" ht="12.75">
      <c r="A54" s="145"/>
      <c r="H54" s="2"/>
      <c r="I54" s="2"/>
    </row>
    <row r="55" spans="1:9" ht="12.75">
      <c r="A55" s="145"/>
      <c r="H55" s="2"/>
      <c r="I55" s="2"/>
    </row>
    <row r="56" spans="1:9" ht="12.75">
      <c r="A56" s="145"/>
      <c r="H56" s="2"/>
      <c r="I56" s="2"/>
    </row>
    <row r="57" spans="1:9" ht="12.75">
      <c r="A57" s="145"/>
      <c r="H57" s="2"/>
      <c r="I57" s="2"/>
    </row>
    <row r="58" spans="1:9" ht="12.75">
      <c r="A58" s="145"/>
      <c r="H58" s="2"/>
      <c r="I58" s="2"/>
    </row>
    <row r="59" spans="1:50" ht="15.75">
      <c r="A59" s="145"/>
      <c r="H59" s="2"/>
      <c r="I59" s="2"/>
      <c r="AQ59" s="375"/>
      <c r="AR59" s="375"/>
      <c r="AS59" s="375"/>
      <c r="AT59" s="375"/>
      <c r="AU59" s="375"/>
      <c r="AV59" s="375"/>
      <c r="AW59" s="375"/>
      <c r="AX59" s="375"/>
    </row>
    <row r="60" spans="1:49" ht="15.75">
      <c r="A60" s="145"/>
      <c r="H60" s="2"/>
      <c r="I60" s="2"/>
      <c r="AP60" s="312" t="s">
        <v>616</v>
      </c>
      <c r="AQ60" s="312"/>
      <c r="AR60" s="312"/>
      <c r="AS60" s="312"/>
      <c r="AT60" s="312"/>
      <c r="AU60" s="312"/>
      <c r="AV60" s="312"/>
      <c r="AW60" s="312"/>
    </row>
    <row r="61" spans="1:9" ht="12.75">
      <c r="A61" s="145"/>
      <c r="H61" s="2"/>
      <c r="I61" s="2"/>
    </row>
    <row r="62" spans="1:48" ht="18.75">
      <c r="A62" s="145"/>
      <c r="B62" s="372" t="s">
        <v>615</v>
      </c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3"/>
      <c r="AH62" s="373"/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3"/>
      <c r="AT62" s="373"/>
      <c r="AU62" s="373"/>
      <c r="AV62" s="374"/>
    </row>
    <row r="63" spans="1:20" ht="12.75">
      <c r="A63" s="145"/>
      <c r="B63" s="202" t="s">
        <v>375</v>
      </c>
      <c r="C63" s="185"/>
      <c r="D63" s="185"/>
      <c r="E63" s="185"/>
      <c r="F63" s="185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</row>
    <row r="64" ht="12.75">
      <c r="A64" s="145"/>
    </row>
    <row r="65" spans="1:30" ht="12.75">
      <c r="A65" s="145"/>
      <c r="B65" s="242" t="s">
        <v>497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4"/>
    </row>
    <row r="66" ht="12.75">
      <c r="A66" s="145"/>
    </row>
    <row r="67" spans="1:13" ht="12.75">
      <c r="A67" s="145"/>
      <c r="C67" s="147" t="s">
        <v>498</v>
      </c>
      <c r="D67" s="147"/>
      <c r="E67" s="147"/>
      <c r="F67" s="147"/>
      <c r="G67" s="147"/>
      <c r="H67" s="147"/>
      <c r="I67" s="150"/>
      <c r="J67" s="149"/>
      <c r="K67" s="149"/>
      <c r="L67" s="149"/>
      <c r="M67" s="149"/>
    </row>
    <row r="68" spans="1:8" ht="12.75">
      <c r="A68" s="145"/>
      <c r="C68" s="9"/>
      <c r="D68" s="9"/>
      <c r="E68" s="9"/>
      <c r="F68" s="9"/>
      <c r="G68" s="9"/>
      <c r="H68" s="9"/>
    </row>
    <row r="69" spans="1:11" ht="12.75">
      <c r="A69" s="145"/>
      <c r="B69" s="3" t="s">
        <v>496</v>
      </c>
      <c r="C69" s="4"/>
      <c r="D69" s="4"/>
      <c r="E69" s="4"/>
      <c r="F69" s="4"/>
      <c r="K69" s="2" t="s">
        <v>524</v>
      </c>
    </row>
    <row r="70" spans="1:49" ht="14.25">
      <c r="A70" s="145"/>
      <c r="B70" s="304" t="s">
        <v>529</v>
      </c>
      <c r="C70" s="304"/>
      <c r="D70" s="304"/>
      <c r="E70" s="304"/>
      <c r="F70" s="10" t="s">
        <v>423</v>
      </c>
      <c r="G70" s="319" t="s">
        <v>442</v>
      </c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</row>
    <row r="71" spans="1:34" ht="14.25">
      <c r="A71" s="145"/>
      <c r="D71" s="9" t="s">
        <v>98</v>
      </c>
      <c r="E71" s="9"/>
      <c r="F71" s="231">
        <f>$AM$23+($AM$18/8)</f>
        <v>922.5</v>
      </c>
      <c r="G71" s="231"/>
      <c r="H71" s="231"/>
      <c r="I71" s="231"/>
      <c r="J71" s="231"/>
      <c r="K71" s="231" t="s">
        <v>426</v>
      </c>
      <c r="L71" s="231"/>
      <c r="Z71" s="6" t="s">
        <v>530</v>
      </c>
      <c r="AB71" s="2">
        <v>0</v>
      </c>
      <c r="AF71" s="215"/>
      <c r="AG71" s="215"/>
      <c r="AH71" s="215"/>
    </row>
    <row r="72" spans="1:8" ht="12.75">
      <c r="A72" s="145"/>
      <c r="C72" s="9"/>
      <c r="D72" s="9"/>
      <c r="E72" s="9"/>
      <c r="F72" s="9"/>
      <c r="G72" s="9"/>
      <c r="H72" s="9"/>
    </row>
    <row r="73" spans="1:8" ht="12.75">
      <c r="A73" s="145"/>
      <c r="C73" s="9"/>
      <c r="D73" s="9"/>
      <c r="E73" s="9"/>
      <c r="F73" s="9"/>
      <c r="G73" s="9"/>
      <c r="H73" s="9"/>
    </row>
    <row r="74" spans="1:8" ht="12.75">
      <c r="A74" s="145"/>
      <c r="C74" s="9"/>
      <c r="D74" s="9"/>
      <c r="E74" s="9"/>
      <c r="F74" s="9"/>
      <c r="G74" s="9"/>
      <c r="H74" s="9"/>
    </row>
    <row r="75" spans="1:8" ht="12.75">
      <c r="A75" s="145"/>
      <c r="C75" s="9"/>
      <c r="D75" s="9"/>
      <c r="E75" s="9"/>
      <c r="F75" s="9"/>
      <c r="G75" s="9"/>
      <c r="H75" s="9"/>
    </row>
    <row r="76" spans="1:8" ht="18.75" customHeight="1">
      <c r="A76" s="145"/>
      <c r="C76" s="9"/>
      <c r="D76" s="9"/>
      <c r="E76" s="9"/>
      <c r="F76" s="9"/>
      <c r="G76" s="9"/>
      <c r="H76" s="9"/>
    </row>
    <row r="77" spans="1:8" ht="12.75">
      <c r="A77" s="145"/>
      <c r="C77" s="9"/>
      <c r="D77" s="9"/>
      <c r="E77" s="9"/>
      <c r="F77" s="9"/>
      <c r="G77" s="9"/>
      <c r="H77" s="9"/>
    </row>
    <row r="78" spans="1:8" ht="12.75">
      <c r="A78" s="145"/>
      <c r="C78" s="9"/>
      <c r="D78" s="9"/>
      <c r="E78" s="9"/>
      <c r="F78" s="9"/>
      <c r="G78" s="9"/>
      <c r="H78" s="9"/>
    </row>
    <row r="79" spans="1:8" ht="12.75">
      <c r="A79" s="145"/>
      <c r="C79" s="9"/>
      <c r="D79" s="9"/>
      <c r="E79" s="9"/>
      <c r="F79" s="9"/>
      <c r="G79" s="9"/>
      <c r="H79" s="9"/>
    </row>
    <row r="80" spans="1:8" ht="12.75">
      <c r="A80" s="145"/>
      <c r="C80" s="9"/>
      <c r="D80" s="9"/>
      <c r="E80" s="9"/>
      <c r="F80" s="9"/>
      <c r="G80" s="9"/>
      <c r="H80" s="9"/>
    </row>
    <row r="81" spans="1:8" ht="12.75">
      <c r="A81" s="145"/>
      <c r="C81" s="9"/>
      <c r="D81" s="9"/>
      <c r="E81" s="9"/>
      <c r="F81" s="9"/>
      <c r="G81" s="9"/>
      <c r="H81" s="9"/>
    </row>
    <row r="82" spans="1:8" ht="12.75">
      <c r="A82" s="145"/>
      <c r="C82" s="9"/>
      <c r="D82" s="9"/>
      <c r="E82" s="9"/>
      <c r="F82" s="9"/>
      <c r="G82" s="9"/>
      <c r="H82" s="9"/>
    </row>
    <row r="83" spans="1:39" ht="14.25">
      <c r="A83" s="145"/>
      <c r="C83" s="9"/>
      <c r="D83" s="9"/>
      <c r="E83" s="9"/>
      <c r="F83" s="9"/>
      <c r="G83" s="9"/>
      <c r="H83" s="9"/>
      <c r="AL83" s="210" t="s">
        <v>527</v>
      </c>
      <c r="AM83" s="210"/>
    </row>
    <row r="84" spans="1:38" ht="14.25">
      <c r="A84" s="145"/>
      <c r="C84" s="9"/>
      <c r="D84" s="9"/>
      <c r="E84" s="9"/>
      <c r="F84" s="9"/>
      <c r="G84" s="9"/>
      <c r="H84" s="9"/>
      <c r="AI84" s="2" t="s">
        <v>526</v>
      </c>
      <c r="AK84" s="2" t="s">
        <v>424</v>
      </c>
      <c r="AL84" s="74" t="s">
        <v>525</v>
      </c>
    </row>
    <row r="85" spans="1:39" ht="12.75">
      <c r="A85" s="145"/>
      <c r="C85" s="9"/>
      <c r="D85" s="9"/>
      <c r="E85" s="9"/>
      <c r="F85" s="9"/>
      <c r="G85" s="9"/>
      <c r="H85" s="9"/>
      <c r="AL85" s="210">
        <v>8</v>
      </c>
      <c r="AM85" s="210"/>
    </row>
    <row r="86" spans="1:41" ht="12.75">
      <c r="A86" s="145"/>
      <c r="C86" s="9"/>
      <c r="D86" s="9"/>
      <c r="E86" s="9"/>
      <c r="F86" s="9"/>
      <c r="G86" s="9"/>
      <c r="H86" s="9"/>
      <c r="AN86" s="210"/>
      <c r="AO86" s="210"/>
    </row>
    <row r="87" spans="1:40" ht="12.75">
      <c r="A87" s="145"/>
      <c r="C87" s="9"/>
      <c r="D87" s="9"/>
      <c r="E87" s="9"/>
      <c r="F87" s="9"/>
      <c r="G87" s="9"/>
      <c r="H87" s="9"/>
      <c r="AN87" s="74"/>
    </row>
    <row r="88" spans="1:41" ht="12.75">
      <c r="A88" s="145"/>
      <c r="C88" s="9"/>
      <c r="D88" s="9"/>
      <c r="E88" s="9"/>
      <c r="F88" s="9"/>
      <c r="G88" s="9"/>
      <c r="H88" s="9"/>
      <c r="AN88" s="210"/>
      <c r="AO88" s="210"/>
    </row>
    <row r="89" spans="1:8" ht="12.75">
      <c r="A89" s="145"/>
      <c r="C89" s="9"/>
      <c r="D89" s="9"/>
      <c r="E89" s="9"/>
      <c r="F89" s="9"/>
      <c r="G89" s="9"/>
      <c r="H89" s="9"/>
    </row>
    <row r="90" spans="1:8" ht="12.75">
      <c r="A90" s="145"/>
      <c r="C90" s="9"/>
      <c r="D90" s="9"/>
      <c r="E90" s="9"/>
      <c r="F90" s="9"/>
      <c r="G90" s="9"/>
      <c r="H90" s="9"/>
    </row>
    <row r="91" spans="1:8" ht="12.75">
      <c r="A91" s="145"/>
      <c r="C91" s="9"/>
      <c r="D91" s="9"/>
      <c r="E91" s="9"/>
      <c r="F91" s="9"/>
      <c r="G91" s="9"/>
      <c r="H91" s="9"/>
    </row>
    <row r="92" spans="1:8" ht="12.75">
      <c r="A92" s="145"/>
      <c r="C92" s="9"/>
      <c r="D92" s="9"/>
      <c r="E92" s="9"/>
      <c r="F92" s="9"/>
      <c r="G92" s="9"/>
      <c r="H92" s="9"/>
    </row>
    <row r="93" spans="1:8" ht="12.75">
      <c r="A93" s="145"/>
      <c r="C93" s="9"/>
      <c r="D93" s="9"/>
      <c r="E93" s="9"/>
      <c r="F93" s="9"/>
      <c r="G93" s="9"/>
      <c r="H93" s="9"/>
    </row>
    <row r="94" spans="1:8" ht="12.75">
      <c r="A94" s="145"/>
      <c r="C94" s="9"/>
      <c r="D94" s="9"/>
      <c r="E94" s="9"/>
      <c r="F94" s="9"/>
      <c r="G94" s="9"/>
      <c r="H94" s="9"/>
    </row>
    <row r="95" spans="1:8" ht="12.75">
      <c r="A95" s="145"/>
      <c r="C95" s="9"/>
      <c r="D95" s="9"/>
      <c r="E95" s="9"/>
      <c r="F95" s="9"/>
      <c r="G95" s="9"/>
      <c r="H95" s="9"/>
    </row>
    <row r="96" spans="1:8" ht="12.75">
      <c r="A96" s="145"/>
      <c r="C96" s="9"/>
      <c r="D96" s="9"/>
      <c r="E96" s="9"/>
      <c r="F96" s="9"/>
      <c r="G96" s="9"/>
      <c r="H96" s="9"/>
    </row>
    <row r="97" spans="1:8" ht="12.75">
      <c r="A97" s="145"/>
      <c r="C97" s="9"/>
      <c r="D97" s="9"/>
      <c r="E97" s="9"/>
      <c r="F97" s="9"/>
      <c r="G97" s="9"/>
      <c r="H97" s="9"/>
    </row>
    <row r="98" spans="1:47" ht="15.75">
      <c r="A98" s="145"/>
      <c r="B98" s="256" t="s">
        <v>443</v>
      </c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9"/>
      <c r="AJ98" s="256" t="s">
        <v>382</v>
      </c>
      <c r="AK98" s="257"/>
      <c r="AL98" s="48" t="s">
        <v>424</v>
      </c>
      <c r="AM98" s="254">
        <f>IF($AC$17="Ani frenlemeli güvenlik tertibatı",5,IF($AC$17="Ani frenlemeli makaralı güvenlik tertibatı",3,IF($AC$17="Kaymalı frenlemeli güvenlik tertibatı",2,IF($AC$17="Değer Gir",))))</f>
        <v>2</v>
      </c>
      <c r="AN98" s="255"/>
      <c r="AO98" s="229" t="s">
        <v>444</v>
      </c>
      <c r="AP98" s="229"/>
      <c r="AQ98" s="229"/>
      <c r="AR98" s="229"/>
      <c r="AS98" s="229"/>
      <c r="AT98" s="229"/>
      <c r="AU98" s="230"/>
    </row>
    <row r="99" spans="1:2" ht="12.75">
      <c r="A99" s="145"/>
      <c r="B99" s="1"/>
    </row>
    <row r="100" spans="1:42" ht="12.75">
      <c r="A100" s="145"/>
      <c r="B100" s="1"/>
      <c r="S100" s="226">
        <f>$AM$98</f>
        <v>2</v>
      </c>
      <c r="T100" s="226"/>
      <c r="U100" s="45" t="s">
        <v>100</v>
      </c>
      <c r="V100" s="226">
        <v>9.81</v>
      </c>
      <c r="W100" s="226"/>
      <c r="X100" s="226"/>
      <c r="Y100" s="45" t="s">
        <v>100</v>
      </c>
      <c r="Z100" s="45" t="s">
        <v>92</v>
      </c>
      <c r="AA100" s="210">
        <f>$AM$14</f>
        <v>400</v>
      </c>
      <c r="AB100" s="210"/>
      <c r="AC100" s="210"/>
      <c r="AD100" s="2" t="s">
        <v>100</v>
      </c>
      <c r="AE100" s="215">
        <f>$F$71</f>
        <v>922.5</v>
      </c>
      <c r="AF100" s="215"/>
      <c r="AG100" s="215"/>
      <c r="AH100" s="44" t="s">
        <v>88</v>
      </c>
      <c r="AI100" s="218">
        <f>$AM$13</f>
        <v>600</v>
      </c>
      <c r="AJ100" s="218"/>
      <c r="AK100" s="218"/>
      <c r="AL100" s="44" t="s">
        <v>100</v>
      </c>
      <c r="AM100" s="210">
        <f>$AM$27</f>
        <v>785</v>
      </c>
      <c r="AN100" s="210"/>
      <c r="AO100" s="210"/>
      <c r="AP100" s="2" t="s">
        <v>93</v>
      </c>
    </row>
    <row r="101" spans="1:50" ht="15.75">
      <c r="A101" s="145"/>
      <c r="B101" s="1"/>
      <c r="G101" s="4"/>
      <c r="H101" s="4"/>
      <c r="I101" s="4"/>
      <c r="J101" s="4"/>
      <c r="K101" s="4"/>
      <c r="L101" s="4"/>
      <c r="R101" s="4" t="s">
        <v>424</v>
      </c>
      <c r="S101" s="276" t="s">
        <v>99</v>
      </c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50" t="s">
        <v>424</v>
      </c>
      <c r="AT101" s="305">
        <f>(AM98*9.81*((AM14*AE100)+(AM13*AM27)))/(AM30*AM16)</f>
        <v>1681.7142857142858</v>
      </c>
      <c r="AU101" s="305"/>
      <c r="AV101" s="305"/>
      <c r="AW101" s="305"/>
      <c r="AX101" s="50" t="s">
        <v>113</v>
      </c>
    </row>
    <row r="102" spans="1:43" ht="12.75">
      <c r="A102" s="145"/>
      <c r="B102" s="1"/>
      <c r="S102" s="4"/>
      <c r="T102" s="4"/>
      <c r="U102" s="4"/>
      <c r="V102" s="4"/>
      <c r="W102" s="4"/>
      <c r="X102" s="35"/>
      <c r="Y102" s="35"/>
      <c r="Z102" s="35"/>
      <c r="AA102" s="226">
        <f>AM30</f>
        <v>3.5</v>
      </c>
      <c r="AB102" s="226"/>
      <c r="AC102" s="35" t="s">
        <v>100</v>
      </c>
      <c r="AD102" s="226">
        <f>AM16</f>
        <v>2800</v>
      </c>
      <c r="AE102" s="226"/>
      <c r="AF102" s="226"/>
      <c r="AG102" s="226"/>
      <c r="AH102" s="35"/>
      <c r="AI102" s="35"/>
      <c r="AJ102" s="35"/>
      <c r="AK102" s="35"/>
      <c r="AL102" s="35"/>
      <c r="AM102" s="35"/>
      <c r="AN102" s="4"/>
      <c r="AO102" s="4"/>
      <c r="AP102" s="4"/>
      <c r="AQ102" s="4"/>
    </row>
    <row r="103" spans="1:44" ht="12.75">
      <c r="A103" s="145"/>
      <c r="B103" s="1"/>
      <c r="S103" s="51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</row>
    <row r="104" spans="1:40" ht="12.75">
      <c r="A104" s="145"/>
      <c r="B104" s="1"/>
      <c r="O104" s="2">
        <v>3</v>
      </c>
      <c r="P104" s="2" t="s">
        <v>100</v>
      </c>
      <c r="Q104" s="218">
        <f>AT101</f>
        <v>1681.7142857142858</v>
      </c>
      <c r="R104" s="218"/>
      <c r="S104" s="218"/>
      <c r="T104" s="2" t="s">
        <v>100</v>
      </c>
      <c r="U104" s="210">
        <f>AM15</f>
        <v>1250</v>
      </c>
      <c r="V104" s="210"/>
      <c r="W104" s="210"/>
      <c r="AN104" s="45"/>
    </row>
    <row r="105" spans="1:40" ht="12.75">
      <c r="A105" s="145"/>
      <c r="B105" s="1"/>
      <c r="F105" s="4"/>
      <c r="G105" s="4"/>
      <c r="H105" s="4"/>
      <c r="I105" s="4"/>
      <c r="J105" s="4"/>
      <c r="N105" s="2" t="s">
        <v>424</v>
      </c>
      <c r="O105" s="223" t="s">
        <v>114</v>
      </c>
      <c r="P105" s="223"/>
      <c r="Q105" s="223"/>
      <c r="R105" s="223"/>
      <c r="S105" s="223"/>
      <c r="T105" s="223"/>
      <c r="U105" s="223"/>
      <c r="V105" s="223"/>
      <c r="W105" s="223"/>
      <c r="X105" s="4"/>
      <c r="Y105" s="4" t="s">
        <v>424</v>
      </c>
      <c r="Z105" s="217">
        <f>O104*Q104*U104/R106</f>
        <v>394151.7857142857</v>
      </c>
      <c r="AA105" s="217"/>
      <c r="AB105" s="217"/>
      <c r="AC105" s="217"/>
      <c r="AD105" s="217"/>
      <c r="AE105" s="60" t="s">
        <v>115</v>
      </c>
      <c r="AF105" s="4"/>
      <c r="AG105" s="4"/>
      <c r="AH105" s="4"/>
      <c r="AN105" s="45"/>
    </row>
    <row r="106" spans="1:43" ht="12.75">
      <c r="A106" s="145"/>
      <c r="B106" s="1"/>
      <c r="R106" s="210">
        <v>16</v>
      </c>
      <c r="S106" s="210"/>
      <c r="AN106" s="45"/>
      <c r="AQ106" s="45"/>
    </row>
    <row r="107" spans="1:43" ht="12.75">
      <c r="A107" s="145"/>
      <c r="B107" s="6"/>
      <c r="O107" s="4"/>
      <c r="AN107" s="45"/>
      <c r="AQ107" s="45"/>
    </row>
    <row r="108" spans="1:43" ht="16.5">
      <c r="A108" s="145"/>
      <c r="B108" s="160" t="s">
        <v>499</v>
      </c>
      <c r="C108" s="161"/>
      <c r="D108" s="161"/>
      <c r="E108" s="161"/>
      <c r="F108" s="161"/>
      <c r="G108" s="161"/>
      <c r="H108" s="161"/>
      <c r="I108" s="161"/>
      <c r="J108" s="161"/>
      <c r="K108" s="161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233">
        <f>LOOKUP($AM$31,Sayfa2!$S$6:$S$13,Sayfa2!$AB$6:$AB$13)*1000</f>
        <v>11800</v>
      </c>
      <c r="AE108" s="233"/>
      <c r="AF108" s="233"/>
      <c r="AG108" s="233"/>
      <c r="AH108" s="310" t="s">
        <v>130</v>
      </c>
      <c r="AI108" s="311"/>
      <c r="AN108" s="45"/>
      <c r="AQ108" s="45"/>
    </row>
    <row r="109" spans="1:43" ht="12.75">
      <c r="A109" s="145"/>
      <c r="B109" s="6"/>
      <c r="C109" s="6"/>
      <c r="D109" s="6"/>
      <c r="E109" s="6"/>
      <c r="F109" s="6"/>
      <c r="G109" s="6"/>
      <c r="H109" s="6"/>
      <c r="I109" s="6"/>
      <c r="J109" s="6"/>
      <c r="K109" s="6"/>
      <c r="AN109" s="45"/>
      <c r="AQ109" s="45"/>
    </row>
    <row r="110" spans="1:43" ht="12.75">
      <c r="A110" s="145"/>
      <c r="B110" s="6"/>
      <c r="C110" s="6"/>
      <c r="E110" s="4"/>
      <c r="F110" s="4"/>
      <c r="G110" s="4"/>
      <c r="H110" s="6"/>
      <c r="I110" s="6"/>
      <c r="K110" s="6"/>
      <c r="O110" s="245">
        <f>Z105</f>
        <v>394151.7857142857</v>
      </c>
      <c r="P110" s="245"/>
      <c r="Q110" s="245"/>
      <c r="R110" s="245"/>
      <c r="S110" s="245"/>
      <c r="AN110" s="45"/>
      <c r="AQ110" s="45"/>
    </row>
    <row r="111" spans="1:43" ht="15.75">
      <c r="A111" s="145"/>
      <c r="B111" s="6"/>
      <c r="C111" s="6"/>
      <c r="D111" s="6"/>
      <c r="E111" s="6"/>
      <c r="F111" s="6"/>
      <c r="G111" s="6"/>
      <c r="H111" s="6"/>
      <c r="I111" s="6"/>
      <c r="J111" s="6"/>
      <c r="K111" s="6"/>
      <c r="N111" s="2" t="s">
        <v>424</v>
      </c>
      <c r="O111" s="74" t="s">
        <v>131</v>
      </c>
      <c r="T111" s="2" t="s">
        <v>424</v>
      </c>
      <c r="U111" s="237">
        <f>O110/O112</f>
        <v>33.40269370460048</v>
      </c>
      <c r="V111" s="237"/>
      <c r="W111" s="237"/>
      <c r="X111" s="237"/>
      <c r="Y111" s="2" t="s">
        <v>132</v>
      </c>
      <c r="AQ111" s="45"/>
    </row>
    <row r="112" spans="1:43" ht="12.75">
      <c r="A112" s="145"/>
      <c r="B112" s="6"/>
      <c r="C112" s="6"/>
      <c r="D112" s="6"/>
      <c r="E112" s="6"/>
      <c r="F112" s="6"/>
      <c r="G112" s="6"/>
      <c r="H112" s="6"/>
      <c r="I112" s="6"/>
      <c r="J112" s="6"/>
      <c r="K112" s="6"/>
      <c r="O112" s="210">
        <f>AD108</f>
        <v>11800</v>
      </c>
      <c r="P112" s="210"/>
      <c r="Q112" s="210"/>
      <c r="R112" s="210"/>
      <c r="AQ112" s="45"/>
    </row>
    <row r="113" spans="1:26" ht="12.75">
      <c r="A113" s="145"/>
      <c r="B113" s="6"/>
      <c r="C113" s="6"/>
      <c r="D113" s="6"/>
      <c r="E113" s="6"/>
      <c r="F113" s="6"/>
      <c r="G113" s="6"/>
      <c r="H113" s="6"/>
      <c r="I113" s="6"/>
      <c r="J113" s="6"/>
      <c r="K113" s="6"/>
      <c r="Z113" s="4"/>
    </row>
    <row r="114" spans="1:42" ht="12.75">
      <c r="A114" s="145"/>
      <c r="B114" s="6"/>
      <c r="C114" s="6"/>
      <c r="D114" s="6"/>
      <c r="E114" s="6"/>
      <c r="G114" s="4"/>
      <c r="H114" s="4"/>
      <c r="I114" s="4"/>
      <c r="J114" s="4"/>
      <c r="K114" s="4"/>
      <c r="L114" s="4"/>
      <c r="S114" s="226">
        <f>AM98</f>
        <v>2</v>
      </c>
      <c r="T114" s="226"/>
      <c r="U114" s="45" t="s">
        <v>100</v>
      </c>
      <c r="V114" s="226">
        <v>9.81</v>
      </c>
      <c r="W114" s="226"/>
      <c r="X114" s="226"/>
      <c r="Y114" s="45" t="s">
        <v>100</v>
      </c>
      <c r="Z114" s="45" t="s">
        <v>92</v>
      </c>
      <c r="AA114" s="210">
        <f>AM14</f>
        <v>400</v>
      </c>
      <c r="AB114" s="210"/>
      <c r="AC114" s="210"/>
      <c r="AD114" s="2" t="s">
        <v>100</v>
      </c>
      <c r="AE114" s="231">
        <f>AB71</f>
        <v>0</v>
      </c>
      <c r="AF114" s="231"/>
      <c r="AG114" s="231"/>
      <c r="AH114" s="44" t="s">
        <v>88</v>
      </c>
      <c r="AI114" s="218">
        <f>AM13</f>
        <v>600</v>
      </c>
      <c r="AJ114" s="218"/>
      <c r="AK114" s="218"/>
      <c r="AL114" s="44" t="s">
        <v>100</v>
      </c>
      <c r="AM114" s="210">
        <f>AM28</f>
        <v>0</v>
      </c>
      <c r="AN114" s="210"/>
      <c r="AO114" s="210"/>
      <c r="AP114" s="2" t="s">
        <v>93</v>
      </c>
    </row>
    <row r="115" spans="1:49" ht="15.75">
      <c r="A115" s="145"/>
      <c r="B115" s="1"/>
      <c r="R115" s="2" t="s">
        <v>424</v>
      </c>
      <c r="S115" s="276" t="s">
        <v>99</v>
      </c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" t="s">
        <v>424</v>
      </c>
      <c r="AT115" s="219">
        <f>(S114*V114*((AA114*AE114)+(AI114*AM114))/((X116/AA116)*AD116))</f>
        <v>0</v>
      </c>
      <c r="AU115" s="219"/>
      <c r="AV115" s="219"/>
      <c r="AW115" s="4" t="s">
        <v>113</v>
      </c>
    </row>
    <row r="116" spans="1:43" ht="12.75">
      <c r="A116" s="145"/>
      <c r="B116" s="1"/>
      <c r="S116" s="4"/>
      <c r="T116" s="4"/>
      <c r="U116" s="4"/>
      <c r="V116" s="4"/>
      <c r="W116" s="4"/>
      <c r="X116" s="226">
        <f>AM30</f>
        <v>3.5</v>
      </c>
      <c r="Y116" s="226"/>
      <c r="Z116" s="2" t="s">
        <v>91</v>
      </c>
      <c r="AA116" s="2">
        <v>2</v>
      </c>
      <c r="AC116" s="35" t="s">
        <v>100</v>
      </c>
      <c r="AD116" s="226">
        <f>AM16</f>
        <v>2800</v>
      </c>
      <c r="AE116" s="226"/>
      <c r="AF116" s="226"/>
      <c r="AG116" s="226"/>
      <c r="AH116" s="35"/>
      <c r="AI116" s="35"/>
      <c r="AJ116" s="35"/>
      <c r="AK116" s="35"/>
      <c r="AL116" s="35"/>
      <c r="AM116" s="35"/>
      <c r="AN116" s="4"/>
      <c r="AO116" s="4"/>
      <c r="AP116" s="4"/>
      <c r="AQ116" s="4"/>
    </row>
    <row r="117" spans="1:2" ht="12.75">
      <c r="A117" s="145"/>
      <c r="B117" s="1"/>
    </row>
    <row r="118" spans="1:23" ht="12.75">
      <c r="A118" s="145"/>
      <c r="B118" s="1"/>
      <c r="O118" s="2">
        <v>3</v>
      </c>
      <c r="P118" s="2" t="s">
        <v>100</v>
      </c>
      <c r="Q118" s="218">
        <f>AT115</f>
        <v>0</v>
      </c>
      <c r="R118" s="218"/>
      <c r="S118" s="218"/>
      <c r="T118" s="2" t="s">
        <v>100</v>
      </c>
      <c r="U118" s="210">
        <f>AM15</f>
        <v>1250</v>
      </c>
      <c r="V118" s="210"/>
      <c r="W118" s="210"/>
    </row>
    <row r="119" spans="1:32" ht="15.75">
      <c r="A119" s="145"/>
      <c r="B119" s="1"/>
      <c r="F119" s="4"/>
      <c r="G119" s="4"/>
      <c r="H119" s="4"/>
      <c r="N119" s="2" t="s">
        <v>424</v>
      </c>
      <c r="O119" s="223" t="s">
        <v>114</v>
      </c>
      <c r="P119" s="223"/>
      <c r="Q119" s="223"/>
      <c r="R119" s="223"/>
      <c r="S119" s="223"/>
      <c r="T119" s="223"/>
      <c r="U119" s="223"/>
      <c r="V119" s="223"/>
      <c r="W119" s="223"/>
      <c r="X119" s="4"/>
      <c r="Y119" s="4" t="s">
        <v>424</v>
      </c>
      <c r="Z119" s="287">
        <f>O118*Q118*U118/R120</f>
        <v>0</v>
      </c>
      <c r="AA119" s="287"/>
      <c r="AB119" s="287"/>
      <c r="AC119" s="287"/>
      <c r="AD119" s="60" t="s">
        <v>115</v>
      </c>
      <c r="AE119" s="4"/>
      <c r="AF119" s="4"/>
    </row>
    <row r="120" spans="1:19" ht="12.75">
      <c r="A120" s="145"/>
      <c r="R120" s="210">
        <v>16</v>
      </c>
      <c r="S120" s="210"/>
    </row>
    <row r="121" spans="1:19" ht="12.75">
      <c r="A121" s="145"/>
      <c r="R121" s="5"/>
      <c r="S121" s="5"/>
    </row>
    <row r="122" spans="1:50" ht="16.5">
      <c r="A122" s="145"/>
      <c r="B122" s="18" t="s">
        <v>500</v>
      </c>
      <c r="C122" s="19"/>
      <c r="D122" s="19"/>
      <c r="E122" s="19"/>
      <c r="F122" s="19"/>
      <c r="G122" s="19"/>
      <c r="H122" s="19"/>
      <c r="I122" s="20"/>
      <c r="J122" s="19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222">
        <f>LOOKUP($AM$31,Sayfa2!$S$6:$S$13,Sayfa2!$AA$6:$AA$13)*1000</f>
        <v>14500</v>
      </c>
      <c r="AE122" s="222"/>
      <c r="AF122" s="222"/>
      <c r="AG122" s="222"/>
      <c r="AH122" s="235" t="s">
        <v>130</v>
      </c>
      <c r="AI122" s="277"/>
      <c r="AQ122" s="312" t="s">
        <v>617</v>
      </c>
      <c r="AR122" s="312"/>
      <c r="AS122" s="312"/>
      <c r="AT122" s="312"/>
      <c r="AU122" s="312"/>
      <c r="AV122" s="312"/>
      <c r="AW122" s="312"/>
      <c r="AX122" s="312"/>
    </row>
    <row r="123" spans="1:35" ht="12.75">
      <c r="A123" s="145"/>
      <c r="B123" s="40"/>
      <c r="C123" s="40"/>
      <c r="D123" s="40"/>
      <c r="E123" s="40"/>
      <c r="F123" s="40"/>
      <c r="G123" s="40"/>
      <c r="H123" s="40"/>
      <c r="I123" s="40"/>
      <c r="J123" s="40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129"/>
      <c r="AE123" s="129"/>
      <c r="AF123" s="129"/>
      <c r="AG123" s="129"/>
      <c r="AH123" s="36"/>
      <c r="AI123" s="36"/>
    </row>
    <row r="124" spans="1:35" ht="12.75">
      <c r="A124" s="145"/>
      <c r="B124" s="40"/>
      <c r="C124" s="40"/>
      <c r="D124" s="40"/>
      <c r="E124" s="40"/>
      <c r="F124" s="40"/>
      <c r="G124" s="40"/>
      <c r="H124" s="40"/>
      <c r="I124" s="40"/>
      <c r="J124" s="40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36"/>
      <c r="AH124" s="36"/>
      <c r="AI124" s="36"/>
    </row>
    <row r="125" spans="1:9" ht="12.75">
      <c r="A125" s="145"/>
      <c r="B125" s="1"/>
      <c r="H125" s="2"/>
      <c r="I125" s="2"/>
    </row>
    <row r="126" spans="1:33" ht="12.75">
      <c r="A126" s="145"/>
      <c r="H126" s="2"/>
      <c r="J126" s="218">
        <f>Z119</f>
        <v>0</v>
      </c>
      <c r="K126" s="218"/>
      <c r="L126" s="218"/>
      <c r="M126" s="218"/>
      <c r="AD126" s="45"/>
      <c r="AE126" s="45"/>
      <c r="AF126" s="45"/>
      <c r="AG126" s="45"/>
    </row>
    <row r="127" spans="1:18" ht="16.5">
      <c r="A127" s="145"/>
      <c r="E127" s="4"/>
      <c r="F127" s="4"/>
      <c r="G127" s="4"/>
      <c r="H127" s="2" t="s">
        <v>424</v>
      </c>
      <c r="I127" s="223" t="s">
        <v>374</v>
      </c>
      <c r="J127" s="223"/>
      <c r="K127" s="223"/>
      <c r="L127" s="223"/>
      <c r="M127" s="223"/>
      <c r="N127" s="2" t="s">
        <v>424</v>
      </c>
      <c r="O127" s="219">
        <f>J126/I128</f>
        <v>0</v>
      </c>
      <c r="P127" s="219"/>
      <c r="Q127" s="2" t="s">
        <v>132</v>
      </c>
      <c r="R127" s="4"/>
    </row>
    <row r="128" spans="1:13" ht="12.75">
      <c r="A128" s="145"/>
      <c r="H128" s="2"/>
      <c r="I128" s="210">
        <f>AD122</f>
        <v>14500</v>
      </c>
      <c r="J128" s="210"/>
      <c r="K128" s="210"/>
      <c r="L128" s="210"/>
      <c r="M128" s="210"/>
    </row>
    <row r="129" ht="12.75">
      <c r="A129" s="145"/>
    </row>
    <row r="130" spans="1:9" ht="14.25">
      <c r="A130" s="145"/>
      <c r="B130" s="208" t="s">
        <v>108</v>
      </c>
      <c r="C130" s="208"/>
      <c r="D130" s="2" t="s">
        <v>424</v>
      </c>
      <c r="E130" s="208" t="s">
        <v>531</v>
      </c>
      <c r="F130" s="208"/>
      <c r="G130" s="2" t="s">
        <v>88</v>
      </c>
      <c r="H130" s="208" t="s">
        <v>532</v>
      </c>
      <c r="I130" s="208"/>
    </row>
    <row r="131" ht="7.5" customHeight="1">
      <c r="A131" s="145"/>
    </row>
    <row r="132" spans="1:18" ht="16.5">
      <c r="A132" s="145"/>
      <c r="B132" s="208" t="s">
        <v>108</v>
      </c>
      <c r="C132" s="208"/>
      <c r="D132" s="2" t="s">
        <v>424</v>
      </c>
      <c r="E132" s="210">
        <f>O127</f>
        <v>0</v>
      </c>
      <c r="F132" s="210"/>
      <c r="G132" s="210"/>
      <c r="H132" s="2" t="s">
        <v>88</v>
      </c>
      <c r="I132" s="237">
        <f>U111</f>
        <v>33.40269370460048</v>
      </c>
      <c r="J132" s="210"/>
      <c r="K132" s="210"/>
      <c r="M132" s="2" t="s">
        <v>424</v>
      </c>
      <c r="N132" s="241">
        <f>E132+I132</f>
        <v>33.40269370460048</v>
      </c>
      <c r="O132" s="219"/>
      <c r="P132" s="219"/>
      <c r="Q132" s="219"/>
      <c r="R132" s="2" t="s">
        <v>132</v>
      </c>
    </row>
    <row r="133" ht="12.75">
      <c r="A133" s="145"/>
    </row>
    <row r="134" ht="12.75">
      <c r="A134" s="145"/>
    </row>
    <row r="135" ht="12.75">
      <c r="A135" s="145"/>
    </row>
    <row r="136" spans="1:15" ht="12.75">
      <c r="A136" s="145"/>
      <c r="B136" s="321" t="s">
        <v>515</v>
      </c>
      <c r="C136" s="321"/>
      <c r="D136" s="321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2" t="s">
        <v>533</v>
      </c>
    </row>
    <row r="137" spans="1:14" ht="12.75">
      <c r="A137" s="145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</row>
    <row r="138" spans="1:28" ht="15.75">
      <c r="A138" s="145"/>
      <c r="B138" s="139"/>
      <c r="C138" s="139"/>
      <c r="D138" s="139"/>
      <c r="E138" s="139"/>
      <c r="F138" s="139"/>
      <c r="G138" s="139"/>
      <c r="H138" s="2"/>
      <c r="I138" s="2"/>
      <c r="K138" s="4" t="s">
        <v>534</v>
      </c>
      <c r="L138" s="4"/>
      <c r="M138" s="4"/>
      <c r="N138" s="4"/>
      <c r="O138" s="2" t="s">
        <v>424</v>
      </c>
      <c r="P138" s="220">
        <f>$AM$23</f>
        <v>785</v>
      </c>
      <c r="Q138" s="220"/>
      <c r="R138" s="220"/>
      <c r="S138" s="220"/>
      <c r="X138" s="2" t="s">
        <v>35</v>
      </c>
      <c r="Z138" s="220">
        <f>$AM$24+($AM$19/8)</f>
        <v>162.5</v>
      </c>
      <c r="AA138" s="220"/>
      <c r="AB138" s="220"/>
    </row>
    <row r="139" ht="12.75">
      <c r="A139" s="145"/>
    </row>
    <row r="140" spans="1:38" ht="14.25">
      <c r="A140" s="145"/>
      <c r="AL140" s="2" t="s">
        <v>534</v>
      </c>
    </row>
    <row r="141" ht="12.75">
      <c r="A141" s="145"/>
    </row>
    <row r="142" ht="12.75">
      <c r="A142" s="145"/>
    </row>
    <row r="143" spans="1:38" ht="14.25">
      <c r="A143" s="145"/>
      <c r="AL143" s="2" t="s">
        <v>535</v>
      </c>
    </row>
    <row r="144" ht="12.75">
      <c r="A144" s="145"/>
    </row>
    <row r="145" ht="12.75">
      <c r="A145" s="145"/>
    </row>
    <row r="146" ht="12.75">
      <c r="A146" s="145"/>
    </row>
    <row r="147" ht="12.75">
      <c r="A147" s="145"/>
    </row>
    <row r="148" ht="12.75">
      <c r="A148" s="145"/>
    </row>
    <row r="149" ht="12.75">
      <c r="A149" s="145"/>
    </row>
    <row r="150" ht="12.75">
      <c r="A150" s="145"/>
    </row>
    <row r="151" ht="12.75">
      <c r="A151" s="145"/>
    </row>
    <row r="152" ht="12.75">
      <c r="A152" s="145"/>
    </row>
    <row r="153" ht="12.75">
      <c r="A153" s="145"/>
    </row>
    <row r="154" ht="12.75">
      <c r="A154" s="145"/>
    </row>
    <row r="155" ht="12.75">
      <c r="A155" s="145"/>
    </row>
    <row r="156" ht="12.75">
      <c r="A156" s="145"/>
    </row>
    <row r="157" ht="12.75">
      <c r="A157" s="145"/>
    </row>
    <row r="158" ht="12.75">
      <c r="A158" s="145"/>
    </row>
    <row r="159" ht="12.75">
      <c r="A159" s="145"/>
    </row>
    <row r="160" spans="1:47" ht="15.75">
      <c r="A160" s="145"/>
      <c r="B160" s="281" t="s">
        <v>443</v>
      </c>
      <c r="C160" s="282"/>
      <c r="D160" s="282"/>
      <c r="E160" s="282"/>
      <c r="F160" s="282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3"/>
      <c r="AJ160" s="256" t="s">
        <v>382</v>
      </c>
      <c r="AK160" s="257"/>
      <c r="AL160" s="48" t="s">
        <v>424</v>
      </c>
      <c r="AM160" s="254">
        <f>IF($AC$17="Ani frenlemeli güvenlik tertibatı",5,IF($AC$17="Ani frenlemeli makaralı güvenlik tertibatı",3,IF($AC$17="Kaymalı frenlemeli güvenlik tertibatı",2,IF($AC$17="Değer Gir",))))</f>
        <v>2</v>
      </c>
      <c r="AN160" s="255"/>
      <c r="AO160" s="229" t="s">
        <v>444</v>
      </c>
      <c r="AP160" s="229"/>
      <c r="AQ160" s="229"/>
      <c r="AR160" s="229"/>
      <c r="AS160" s="229"/>
      <c r="AT160" s="229"/>
      <c r="AU160" s="230"/>
    </row>
    <row r="161" spans="1:2" ht="12.75">
      <c r="A161" s="145"/>
      <c r="B161" s="1"/>
    </row>
    <row r="162" spans="1:42" ht="12.75">
      <c r="A162" s="145"/>
      <c r="B162" s="1"/>
      <c r="S162" s="226">
        <f>AM160</f>
        <v>2</v>
      </c>
      <c r="T162" s="226"/>
      <c r="U162" s="45" t="s">
        <v>100</v>
      </c>
      <c r="V162" s="226">
        <v>9.81</v>
      </c>
      <c r="W162" s="226"/>
      <c r="X162" s="226"/>
      <c r="Y162" s="45" t="s">
        <v>100</v>
      </c>
      <c r="Z162" s="45" t="s">
        <v>92</v>
      </c>
      <c r="AA162" s="210">
        <f>$AM$14</f>
        <v>400</v>
      </c>
      <c r="AB162" s="210"/>
      <c r="AC162" s="210"/>
      <c r="AD162" s="2" t="s">
        <v>100</v>
      </c>
      <c r="AE162" s="215">
        <f>P138</f>
        <v>785</v>
      </c>
      <c r="AF162" s="215"/>
      <c r="AG162" s="215"/>
      <c r="AH162" s="44" t="s">
        <v>88</v>
      </c>
      <c r="AI162" s="218">
        <f>$AM$13</f>
        <v>600</v>
      </c>
      <c r="AJ162" s="218"/>
      <c r="AK162" s="218"/>
      <c r="AL162" s="44" t="s">
        <v>100</v>
      </c>
      <c r="AM162" s="215">
        <f>P138</f>
        <v>785</v>
      </c>
      <c r="AN162" s="210"/>
      <c r="AO162" s="210"/>
      <c r="AP162" s="2" t="s">
        <v>93</v>
      </c>
    </row>
    <row r="163" spans="1:50" ht="15.75">
      <c r="A163" s="145"/>
      <c r="B163" s="1"/>
      <c r="G163" s="4"/>
      <c r="H163" s="4"/>
      <c r="I163" s="4"/>
      <c r="J163" s="4"/>
      <c r="K163" s="4"/>
      <c r="L163" s="4"/>
      <c r="R163" s="4" t="s">
        <v>424</v>
      </c>
      <c r="S163" s="276" t="s">
        <v>99</v>
      </c>
      <c r="T163" s="276"/>
      <c r="U163" s="276"/>
      <c r="V163" s="276"/>
      <c r="W163" s="276"/>
      <c r="X163" s="276"/>
      <c r="Y163" s="276"/>
      <c r="Z163" s="276"/>
      <c r="AA163" s="276"/>
      <c r="AB163" s="276"/>
      <c r="AC163" s="276"/>
      <c r="AD163" s="276"/>
      <c r="AE163" s="276"/>
      <c r="AF163" s="276"/>
      <c r="AG163" s="276"/>
      <c r="AH163" s="276"/>
      <c r="AI163" s="276"/>
      <c r="AJ163" s="276"/>
      <c r="AK163" s="276"/>
      <c r="AL163" s="276"/>
      <c r="AM163" s="276"/>
      <c r="AN163" s="276"/>
      <c r="AO163" s="276"/>
      <c r="AP163" s="276"/>
      <c r="AQ163" s="276"/>
      <c r="AR163" s="276"/>
      <c r="AS163" s="50" t="s">
        <v>424</v>
      </c>
      <c r="AT163" s="305">
        <f>(S162*9.81*((AA162*AE162)+(AI162*AM162)))/(AA164*AD164)</f>
        <v>1571.6020408163265</v>
      </c>
      <c r="AU163" s="305"/>
      <c r="AV163" s="305"/>
      <c r="AW163" s="305"/>
      <c r="AX163" s="50" t="s">
        <v>113</v>
      </c>
    </row>
    <row r="164" spans="1:43" ht="15.75">
      <c r="A164" s="145"/>
      <c r="B164" s="1"/>
      <c r="S164" s="4"/>
      <c r="T164" s="4"/>
      <c r="U164" s="4"/>
      <c r="V164" s="4"/>
      <c r="W164" s="4"/>
      <c r="X164" s="35"/>
      <c r="Y164" s="35"/>
      <c r="Z164" s="35"/>
      <c r="AA164" s="320">
        <f>$AM$30</f>
        <v>3.5</v>
      </c>
      <c r="AB164" s="320"/>
      <c r="AC164" s="35" t="s">
        <v>100</v>
      </c>
      <c r="AD164" s="320">
        <f>$AM$16</f>
        <v>2800</v>
      </c>
      <c r="AE164" s="320"/>
      <c r="AF164" s="320"/>
      <c r="AG164" s="320"/>
      <c r="AH164" s="35"/>
      <c r="AI164" s="35"/>
      <c r="AJ164" s="35"/>
      <c r="AK164" s="35"/>
      <c r="AL164" s="35"/>
      <c r="AM164" s="35"/>
      <c r="AN164" s="4"/>
      <c r="AO164" s="4"/>
      <c r="AP164" s="4"/>
      <c r="AQ164" s="4"/>
    </row>
    <row r="165" spans="1:44" ht="12.75">
      <c r="A165" s="145"/>
      <c r="B165" s="1"/>
      <c r="S165" s="51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</row>
    <row r="166" spans="1:40" ht="12.75">
      <c r="A166" s="145"/>
      <c r="B166" s="1"/>
      <c r="O166" s="2">
        <v>3</v>
      </c>
      <c r="P166" s="2" t="s">
        <v>100</v>
      </c>
      <c r="Q166" s="218">
        <f>AT163</f>
        <v>1571.6020408163265</v>
      </c>
      <c r="R166" s="218"/>
      <c r="S166" s="218"/>
      <c r="T166" s="2" t="s">
        <v>100</v>
      </c>
      <c r="U166" s="210">
        <f>$AM$15</f>
        <v>1250</v>
      </c>
      <c r="V166" s="210"/>
      <c r="W166" s="210"/>
      <c r="AN166" s="45"/>
    </row>
    <row r="167" spans="1:40" ht="15.75">
      <c r="A167" s="145"/>
      <c r="B167" s="1"/>
      <c r="F167" s="4"/>
      <c r="G167" s="4"/>
      <c r="H167" s="4"/>
      <c r="I167" s="4"/>
      <c r="J167" s="4"/>
      <c r="N167" s="2" t="s">
        <v>424</v>
      </c>
      <c r="O167" s="223" t="s">
        <v>114</v>
      </c>
      <c r="P167" s="223"/>
      <c r="Q167" s="223"/>
      <c r="R167" s="223"/>
      <c r="S167" s="223"/>
      <c r="T167" s="223"/>
      <c r="U167" s="223"/>
      <c r="V167" s="223"/>
      <c r="W167" s="223"/>
      <c r="X167" s="4"/>
      <c r="Y167" s="4" t="s">
        <v>424</v>
      </c>
      <c r="Z167" s="287">
        <f>O166*Q166*U166/R168</f>
        <v>368344.2283163265</v>
      </c>
      <c r="AA167" s="287"/>
      <c r="AB167" s="287"/>
      <c r="AC167" s="287"/>
      <c r="AD167" s="287"/>
      <c r="AE167" s="60" t="s">
        <v>115</v>
      </c>
      <c r="AF167" s="4"/>
      <c r="AG167" s="4"/>
      <c r="AH167" s="4"/>
      <c r="AN167" s="45"/>
    </row>
    <row r="168" spans="1:43" ht="12.75">
      <c r="A168" s="145"/>
      <c r="B168" s="1"/>
      <c r="R168" s="210">
        <v>16</v>
      </c>
      <c r="S168" s="210"/>
      <c r="AN168" s="45"/>
      <c r="AQ168" s="45"/>
    </row>
    <row r="169" spans="1:43" ht="12.75">
      <c r="A169" s="145"/>
      <c r="B169" s="6"/>
      <c r="O169" s="4"/>
      <c r="AN169" s="45"/>
      <c r="AQ169" s="45"/>
    </row>
    <row r="170" spans="1:43" ht="16.5">
      <c r="A170" s="145"/>
      <c r="B170" s="18" t="s">
        <v>499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222">
        <f>LOOKUP($AM$31,Sayfa2!$S$6:$S$13,Sayfa2!$AB$6:$AB$13)*1000</f>
        <v>11800</v>
      </c>
      <c r="AE170" s="222"/>
      <c r="AF170" s="222"/>
      <c r="AG170" s="222"/>
      <c r="AH170" s="235" t="s">
        <v>130</v>
      </c>
      <c r="AI170" s="277"/>
      <c r="AN170" s="45"/>
      <c r="AQ170" s="45"/>
    </row>
    <row r="171" spans="1:43" ht="12.75">
      <c r="A171" s="145"/>
      <c r="B171" s="6"/>
      <c r="C171" s="6"/>
      <c r="D171" s="6"/>
      <c r="E171" s="6"/>
      <c r="F171" s="6"/>
      <c r="G171" s="6"/>
      <c r="H171" s="6"/>
      <c r="I171" s="6"/>
      <c r="J171" s="6"/>
      <c r="K171" s="6"/>
      <c r="AN171" s="45"/>
      <c r="AQ171" s="45"/>
    </row>
    <row r="172" spans="1:43" ht="12.75">
      <c r="A172" s="145"/>
      <c r="B172" s="6"/>
      <c r="C172" s="6"/>
      <c r="E172" s="4"/>
      <c r="F172" s="4"/>
      <c r="G172" s="4"/>
      <c r="H172" s="6"/>
      <c r="I172" s="6"/>
      <c r="K172" s="6"/>
      <c r="O172" s="245">
        <f>Z167</f>
        <v>368344.2283163265</v>
      </c>
      <c r="P172" s="245"/>
      <c r="Q172" s="245"/>
      <c r="R172" s="245"/>
      <c r="S172" s="245"/>
      <c r="AN172" s="45"/>
      <c r="AQ172" s="45"/>
    </row>
    <row r="173" spans="1:43" ht="15.75">
      <c r="A173" s="145"/>
      <c r="B173" s="6"/>
      <c r="C173" s="6"/>
      <c r="D173" s="6"/>
      <c r="E173" s="6"/>
      <c r="F173" s="6"/>
      <c r="G173" s="6"/>
      <c r="H173" s="6"/>
      <c r="I173" s="6"/>
      <c r="J173" s="6"/>
      <c r="K173" s="6"/>
      <c r="N173" s="2" t="s">
        <v>424</v>
      </c>
      <c r="O173" s="74" t="s">
        <v>131</v>
      </c>
      <c r="T173" s="2" t="s">
        <v>424</v>
      </c>
      <c r="U173" s="237">
        <f>O172/O174</f>
        <v>31.215612569180212</v>
      </c>
      <c r="V173" s="237"/>
      <c r="W173" s="237"/>
      <c r="X173" s="237"/>
      <c r="Y173" s="2" t="s">
        <v>132</v>
      </c>
      <c r="AQ173" s="45"/>
    </row>
    <row r="174" spans="1:43" ht="12.75">
      <c r="A174" s="145"/>
      <c r="B174" s="6"/>
      <c r="C174" s="6"/>
      <c r="D174" s="6"/>
      <c r="E174" s="6"/>
      <c r="F174" s="6"/>
      <c r="G174" s="6"/>
      <c r="H174" s="6"/>
      <c r="I174" s="6"/>
      <c r="J174" s="6"/>
      <c r="K174" s="6"/>
      <c r="O174" s="210">
        <f>AD170</f>
        <v>11800</v>
      </c>
      <c r="P174" s="210"/>
      <c r="Q174" s="210"/>
      <c r="R174" s="210"/>
      <c r="AQ174" s="45"/>
    </row>
    <row r="175" spans="1:26" ht="12.75">
      <c r="A175" s="145"/>
      <c r="B175" s="6"/>
      <c r="C175" s="6"/>
      <c r="D175" s="6"/>
      <c r="E175" s="6"/>
      <c r="F175" s="6"/>
      <c r="G175" s="6"/>
      <c r="H175" s="6"/>
      <c r="I175" s="6"/>
      <c r="J175" s="6"/>
      <c r="K175" s="6"/>
      <c r="Z175" s="4"/>
    </row>
    <row r="176" spans="1:42" ht="12.75">
      <c r="A176" s="145"/>
      <c r="B176" s="6"/>
      <c r="C176" s="6"/>
      <c r="D176" s="6"/>
      <c r="E176" s="6"/>
      <c r="G176" s="4"/>
      <c r="H176" s="4"/>
      <c r="I176" s="4"/>
      <c r="J176" s="4"/>
      <c r="K176" s="4"/>
      <c r="L176" s="4"/>
      <c r="S176" s="226">
        <f>AM160</f>
        <v>2</v>
      </c>
      <c r="T176" s="226"/>
      <c r="U176" s="45" t="s">
        <v>100</v>
      </c>
      <c r="V176" s="226">
        <v>9.81</v>
      </c>
      <c r="W176" s="226"/>
      <c r="X176" s="226"/>
      <c r="Y176" s="45" t="s">
        <v>100</v>
      </c>
      <c r="Z176" s="45" t="s">
        <v>92</v>
      </c>
      <c r="AA176" s="210">
        <f>AM14</f>
        <v>400</v>
      </c>
      <c r="AB176" s="210"/>
      <c r="AC176" s="210"/>
      <c r="AD176" s="2" t="s">
        <v>100</v>
      </c>
      <c r="AE176" s="231">
        <f>Z138</f>
        <v>162.5</v>
      </c>
      <c r="AF176" s="231"/>
      <c r="AG176" s="231"/>
      <c r="AH176" s="44" t="s">
        <v>88</v>
      </c>
      <c r="AI176" s="218">
        <f>AM13</f>
        <v>600</v>
      </c>
      <c r="AJ176" s="218"/>
      <c r="AK176" s="218"/>
      <c r="AL176" s="44" t="s">
        <v>100</v>
      </c>
      <c r="AM176" s="210">
        <f>AM28</f>
        <v>0</v>
      </c>
      <c r="AN176" s="210"/>
      <c r="AO176" s="210"/>
      <c r="AP176" s="2" t="s">
        <v>93</v>
      </c>
    </row>
    <row r="177" spans="1:50" ht="15.75">
      <c r="A177" s="145"/>
      <c r="B177" s="1"/>
      <c r="R177" s="2" t="s">
        <v>424</v>
      </c>
      <c r="S177" s="276" t="s">
        <v>99</v>
      </c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276"/>
      <c r="AE177" s="276"/>
      <c r="AF177" s="276"/>
      <c r="AG177" s="276"/>
      <c r="AH177" s="276"/>
      <c r="AI177" s="276"/>
      <c r="AJ177" s="276"/>
      <c r="AK177" s="276"/>
      <c r="AL177" s="276"/>
      <c r="AM177" s="276"/>
      <c r="AN177" s="276"/>
      <c r="AO177" s="276"/>
      <c r="AP177" s="276"/>
      <c r="AQ177" s="276"/>
      <c r="AR177" s="276"/>
      <c r="AS177" s="2" t="s">
        <v>424</v>
      </c>
      <c r="AT177" s="219">
        <f>(S176*V176*((AA176*AE176)+(AI176*AM176))/((X178/AA178)*AD178))</f>
        <v>260.265306122449</v>
      </c>
      <c r="AU177" s="219"/>
      <c r="AV177" s="219"/>
      <c r="AW177" s="219"/>
      <c r="AX177" s="4" t="s">
        <v>113</v>
      </c>
    </row>
    <row r="178" spans="1:43" ht="12.75">
      <c r="A178" s="145"/>
      <c r="B178" s="1"/>
      <c r="S178" s="4"/>
      <c r="T178" s="4"/>
      <c r="U178" s="4"/>
      <c r="V178" s="4"/>
      <c r="W178" s="4"/>
      <c r="X178" s="226">
        <f>AM30</f>
        <v>3.5</v>
      </c>
      <c r="Y178" s="226"/>
      <c r="Z178" s="2" t="s">
        <v>91</v>
      </c>
      <c r="AA178" s="2">
        <v>2</v>
      </c>
      <c r="AC178" s="35" t="s">
        <v>100</v>
      </c>
      <c r="AD178" s="226">
        <f>AM16</f>
        <v>2800</v>
      </c>
      <c r="AE178" s="226"/>
      <c r="AF178" s="226"/>
      <c r="AG178" s="226"/>
      <c r="AH178" s="35"/>
      <c r="AI178" s="35"/>
      <c r="AJ178" s="35"/>
      <c r="AK178" s="35"/>
      <c r="AL178" s="35"/>
      <c r="AM178" s="35"/>
      <c r="AN178" s="4"/>
      <c r="AO178" s="4"/>
      <c r="AP178" s="4"/>
      <c r="AQ178" s="4"/>
    </row>
    <row r="179" spans="1:2" ht="12.75">
      <c r="A179" s="145"/>
      <c r="B179" s="1"/>
    </row>
    <row r="180" spans="1:23" ht="12.75">
      <c r="A180" s="145"/>
      <c r="B180" s="1"/>
      <c r="O180" s="2">
        <v>3</v>
      </c>
      <c r="P180" s="2" t="s">
        <v>100</v>
      </c>
      <c r="Q180" s="218">
        <f>AT177</f>
        <v>260.265306122449</v>
      </c>
      <c r="R180" s="218"/>
      <c r="S180" s="218"/>
      <c r="T180" s="2" t="s">
        <v>100</v>
      </c>
      <c r="U180" s="210">
        <f>AM15</f>
        <v>1250</v>
      </c>
      <c r="V180" s="210"/>
      <c r="W180" s="210"/>
    </row>
    <row r="181" spans="1:32" ht="15.75">
      <c r="A181" s="145"/>
      <c r="B181" s="1"/>
      <c r="F181" s="4"/>
      <c r="G181" s="4"/>
      <c r="H181" s="4"/>
      <c r="N181" s="2" t="s">
        <v>424</v>
      </c>
      <c r="O181" s="223" t="s">
        <v>114</v>
      </c>
      <c r="P181" s="223"/>
      <c r="Q181" s="223"/>
      <c r="R181" s="223"/>
      <c r="S181" s="223"/>
      <c r="T181" s="223"/>
      <c r="U181" s="223"/>
      <c r="V181" s="223"/>
      <c r="W181" s="223"/>
      <c r="X181" s="4"/>
      <c r="Y181" s="4" t="s">
        <v>424</v>
      </c>
      <c r="Z181" s="324">
        <f>O180*Q180*U180/R182</f>
        <v>60999.68112244899</v>
      </c>
      <c r="AA181" s="324"/>
      <c r="AB181" s="324"/>
      <c r="AC181" s="324"/>
      <c r="AD181" s="60" t="s">
        <v>115</v>
      </c>
      <c r="AE181" s="4"/>
      <c r="AF181" s="4"/>
    </row>
    <row r="182" spans="1:19" ht="12.75">
      <c r="A182" s="145"/>
      <c r="R182" s="210">
        <v>16</v>
      </c>
      <c r="S182" s="210"/>
    </row>
    <row r="183" spans="1:19" ht="12.75">
      <c r="A183" s="145"/>
      <c r="R183" s="5"/>
      <c r="S183" s="5"/>
    </row>
    <row r="184" spans="1:29" ht="12.75">
      <c r="A184" s="145"/>
      <c r="AC184" s="4"/>
    </row>
    <row r="185" spans="1:50" ht="16.5">
      <c r="A185" s="145"/>
      <c r="B185" s="18" t="s">
        <v>500</v>
      </c>
      <c r="C185" s="19"/>
      <c r="D185" s="19"/>
      <c r="E185" s="19"/>
      <c r="F185" s="19"/>
      <c r="G185" s="19"/>
      <c r="H185" s="19"/>
      <c r="I185" s="20"/>
      <c r="J185" s="19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222">
        <f>LOOKUP($AM$31,Sayfa2!$S$6:$S$13,Sayfa2!$AA$6:$AA$13)*1000</f>
        <v>14500</v>
      </c>
      <c r="AE185" s="222"/>
      <c r="AF185" s="222"/>
      <c r="AG185" s="222"/>
      <c r="AH185" s="235" t="s">
        <v>130</v>
      </c>
      <c r="AI185" s="277"/>
      <c r="AQ185" s="312" t="s">
        <v>618</v>
      </c>
      <c r="AR185" s="312"/>
      <c r="AS185" s="312"/>
      <c r="AT185" s="312"/>
      <c r="AU185" s="312"/>
      <c r="AV185" s="312"/>
      <c r="AW185" s="312"/>
      <c r="AX185" s="312"/>
    </row>
    <row r="186" spans="1:35" ht="12.75">
      <c r="A186" s="145"/>
      <c r="B186" s="40"/>
      <c r="C186" s="40"/>
      <c r="D186" s="40"/>
      <c r="E186" s="40"/>
      <c r="F186" s="40"/>
      <c r="G186" s="40"/>
      <c r="H186" s="40"/>
      <c r="I186" s="40"/>
      <c r="J186" s="40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129"/>
      <c r="AE186" s="129"/>
      <c r="AF186" s="129"/>
      <c r="AG186" s="129"/>
      <c r="AH186" s="36"/>
      <c r="AI186" s="36"/>
    </row>
    <row r="187" spans="1:35" ht="12.75">
      <c r="A187" s="145"/>
      <c r="B187" s="40"/>
      <c r="C187" s="40"/>
      <c r="D187" s="40"/>
      <c r="E187" s="40"/>
      <c r="F187" s="40"/>
      <c r="G187" s="40"/>
      <c r="H187" s="40"/>
      <c r="I187" s="40"/>
      <c r="J187" s="40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36"/>
      <c r="AH187" s="36"/>
      <c r="AI187" s="36"/>
    </row>
    <row r="188" spans="1:33" ht="12.75">
      <c r="A188" s="145"/>
      <c r="H188" s="2"/>
      <c r="J188" s="218">
        <f>Z181</f>
        <v>60999.68112244899</v>
      </c>
      <c r="K188" s="218"/>
      <c r="L188" s="218"/>
      <c r="M188" s="218"/>
      <c r="AD188" s="45"/>
      <c r="AE188" s="45"/>
      <c r="AF188" s="45"/>
      <c r="AG188" s="45"/>
    </row>
    <row r="189" spans="1:19" ht="16.5">
      <c r="A189" s="145"/>
      <c r="E189" s="4"/>
      <c r="F189" s="4"/>
      <c r="G189" s="4"/>
      <c r="H189" s="2" t="s">
        <v>424</v>
      </c>
      <c r="I189" s="223" t="s">
        <v>374</v>
      </c>
      <c r="J189" s="223"/>
      <c r="K189" s="223"/>
      <c r="L189" s="223"/>
      <c r="M189" s="223"/>
      <c r="N189" s="2" t="s">
        <v>424</v>
      </c>
      <c r="O189" s="209">
        <f>J188/I190</f>
        <v>4.206874560168895</v>
      </c>
      <c r="P189" s="209"/>
      <c r="Q189" s="209"/>
      <c r="R189" s="4"/>
      <c r="S189" s="2" t="s">
        <v>132</v>
      </c>
    </row>
    <row r="190" spans="1:13" ht="12.75">
      <c r="A190" s="145"/>
      <c r="H190" s="2"/>
      <c r="I190" s="210">
        <f>AD185</f>
        <v>14500</v>
      </c>
      <c r="J190" s="210"/>
      <c r="K190" s="210"/>
      <c r="L190" s="210"/>
      <c r="M190" s="210"/>
    </row>
    <row r="191" ht="12.75">
      <c r="A191" s="145"/>
    </row>
    <row r="192" spans="1:9" ht="14.25">
      <c r="A192" s="145"/>
      <c r="B192" s="208" t="s">
        <v>108</v>
      </c>
      <c r="C192" s="208"/>
      <c r="D192" s="2" t="s">
        <v>424</v>
      </c>
      <c r="E192" s="208" t="s">
        <v>531</v>
      </c>
      <c r="F192" s="208"/>
      <c r="G192" s="2" t="s">
        <v>88</v>
      </c>
      <c r="H192" s="208" t="s">
        <v>532</v>
      </c>
      <c r="I192" s="208"/>
    </row>
    <row r="193" ht="12.75">
      <c r="A193" s="145"/>
    </row>
    <row r="194" spans="1:18" ht="16.5">
      <c r="A194" s="145"/>
      <c r="B194" s="208" t="s">
        <v>108</v>
      </c>
      <c r="C194" s="208"/>
      <c r="D194" s="2" t="s">
        <v>424</v>
      </c>
      <c r="E194" s="210">
        <f>O189</f>
        <v>4.206874560168895</v>
      </c>
      <c r="F194" s="210"/>
      <c r="G194" s="210"/>
      <c r="H194" s="2" t="s">
        <v>88</v>
      </c>
      <c r="I194" s="237">
        <f>U173</f>
        <v>31.215612569180212</v>
      </c>
      <c r="J194" s="210"/>
      <c r="K194" s="210"/>
      <c r="M194" s="2" t="s">
        <v>424</v>
      </c>
      <c r="N194" s="253">
        <f>E194+I194</f>
        <v>35.42248712934911</v>
      </c>
      <c r="O194" s="209"/>
      <c r="P194" s="209"/>
      <c r="Q194" s="209"/>
      <c r="R194" s="2" t="s">
        <v>132</v>
      </c>
    </row>
    <row r="195" ht="12.75">
      <c r="A195" s="145"/>
    </row>
    <row r="196" spans="1:2" ht="12.75">
      <c r="A196" s="145"/>
      <c r="B196" s="2" t="s">
        <v>536</v>
      </c>
    </row>
    <row r="197" ht="12.75">
      <c r="A197" s="145"/>
    </row>
    <row r="198" spans="1:8" ht="16.5">
      <c r="A198" s="145"/>
      <c r="B198" s="208" t="s">
        <v>108</v>
      </c>
      <c r="C198" s="208"/>
      <c r="D198" s="2" t="s">
        <v>424</v>
      </c>
      <c r="E198" s="253">
        <f>N194</f>
        <v>35.42248712934911</v>
      </c>
      <c r="F198" s="209"/>
      <c r="G198" s="209"/>
      <c r="H198" s="2" t="s">
        <v>132</v>
      </c>
    </row>
    <row r="199" ht="12.75">
      <c r="A199" s="145"/>
    </row>
    <row r="200" spans="1:9" ht="12.75">
      <c r="A200" s="145"/>
      <c r="B200" s="202" t="s">
        <v>501</v>
      </c>
      <c r="C200" s="149"/>
      <c r="D200" s="149"/>
      <c r="E200" s="149"/>
      <c r="F200" s="149"/>
      <c r="G200" s="149"/>
      <c r="H200" s="149"/>
      <c r="I200" s="150"/>
    </row>
    <row r="201" spans="1:8" ht="12.75">
      <c r="A201" s="145"/>
      <c r="B201" s="3"/>
      <c r="H201" s="2"/>
    </row>
    <row r="202" spans="1:31" ht="12.75">
      <c r="A202" s="145"/>
      <c r="B202" s="3"/>
      <c r="H202" s="2"/>
      <c r="P202" s="210">
        <f>AM98</f>
        <v>2</v>
      </c>
      <c r="Q202" s="210"/>
      <c r="R202" s="2" t="s">
        <v>100</v>
      </c>
      <c r="S202" s="237">
        <v>9.81</v>
      </c>
      <c r="T202" s="237"/>
      <c r="U202" s="237"/>
      <c r="V202" s="2" t="s">
        <v>100</v>
      </c>
      <c r="W202" s="2" t="s">
        <v>92</v>
      </c>
      <c r="X202" s="296">
        <f>AM13</f>
        <v>600</v>
      </c>
      <c r="Y202" s="296"/>
      <c r="Z202" s="296"/>
      <c r="AA202" s="2" t="s">
        <v>88</v>
      </c>
      <c r="AB202" s="210">
        <f>AM14</f>
        <v>400</v>
      </c>
      <c r="AC202" s="210"/>
      <c r="AD202" s="210"/>
      <c r="AE202" s="2" t="s">
        <v>93</v>
      </c>
    </row>
    <row r="203" spans="1:37" ht="15.75">
      <c r="A203" s="145"/>
      <c r="B203" s="1"/>
      <c r="H203" s="2"/>
      <c r="O203" s="2" t="s">
        <v>424</v>
      </c>
      <c r="P203" s="223" t="s">
        <v>134</v>
      </c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" t="s">
        <v>424</v>
      </c>
      <c r="AG203" s="287">
        <f>(P202*S202*(X202+AB202))/V204</f>
        <v>5605.714285714285</v>
      </c>
      <c r="AH203" s="287"/>
      <c r="AI203" s="287"/>
      <c r="AJ203" s="287"/>
      <c r="AK203" s="2" t="s">
        <v>113</v>
      </c>
    </row>
    <row r="204" spans="1:23" ht="12.75">
      <c r="A204" s="145"/>
      <c r="F204" s="4"/>
      <c r="G204" s="4"/>
      <c r="H204" s="4"/>
      <c r="I204" s="4"/>
      <c r="J204" s="4"/>
      <c r="V204" s="210">
        <f>AM30</f>
        <v>3.5</v>
      </c>
      <c r="W204" s="210"/>
    </row>
    <row r="205" spans="1:44" ht="12.75">
      <c r="A205" s="145"/>
      <c r="B205" s="1"/>
      <c r="H205" s="2"/>
      <c r="AR205" s="4"/>
    </row>
    <row r="206" spans="1:49" ht="15.75">
      <c r="A206" s="145"/>
      <c r="B206" s="14" t="s">
        <v>445</v>
      </c>
      <c r="C206" s="15"/>
      <c r="D206" s="15"/>
      <c r="E206" s="15"/>
      <c r="F206" s="15"/>
      <c r="G206" s="15"/>
      <c r="H206" s="47"/>
      <c r="I206" s="21"/>
      <c r="J206" s="47"/>
      <c r="K206" s="26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21" t="s">
        <v>446</v>
      </c>
      <c r="AF206" s="26" t="s">
        <v>424</v>
      </c>
      <c r="AG206" s="322">
        <f>LOOKUP(AM31,Sayfa2!S6:S13,Sayfa2!Z6:Z13)</f>
        <v>1.83</v>
      </c>
      <c r="AH206" s="322"/>
      <c r="AI206" s="322"/>
      <c r="AJ206" s="26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55"/>
    </row>
    <row r="207" spans="1:49" ht="15.75">
      <c r="A207" s="145"/>
      <c r="B207" s="27" t="s">
        <v>447</v>
      </c>
      <c r="C207" s="41"/>
      <c r="D207" s="41"/>
      <c r="E207" s="41"/>
      <c r="F207" s="41"/>
      <c r="G207" s="46"/>
      <c r="H207" s="13"/>
      <c r="I207" s="13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295" t="s">
        <v>448</v>
      </c>
      <c r="AE207" s="295"/>
      <c r="AF207" s="17" t="s">
        <v>424</v>
      </c>
      <c r="AG207" s="280">
        <f>AM15</f>
        <v>1250</v>
      </c>
      <c r="AH207" s="280"/>
      <c r="AI207" s="280"/>
      <c r="AJ207" s="46" t="s">
        <v>426</v>
      </c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9"/>
    </row>
    <row r="208" spans="1:8" ht="12.75">
      <c r="A208" s="145"/>
      <c r="B208" s="1"/>
      <c r="H208" s="2"/>
    </row>
    <row r="209" spans="1:8" ht="12.75">
      <c r="A209" s="145"/>
      <c r="B209" s="9" t="s">
        <v>455</v>
      </c>
      <c r="C209" s="9"/>
      <c r="D209" s="9"/>
      <c r="E209" s="9"/>
      <c r="F209" s="9"/>
      <c r="H209" s="2"/>
    </row>
    <row r="210" spans="1:8" ht="12.75">
      <c r="A210" s="145"/>
      <c r="B210" s="8"/>
      <c r="C210" s="8"/>
      <c r="D210" s="8"/>
      <c r="E210" s="8"/>
      <c r="F210" s="8"/>
      <c r="H210" s="2"/>
    </row>
    <row r="211" spans="1:20" ht="12.75">
      <c r="A211" s="145"/>
      <c r="E211" s="4"/>
      <c r="H211" s="2"/>
      <c r="I211" s="5" t="s">
        <v>424</v>
      </c>
      <c r="J211" s="210">
        <f>AG207</f>
        <v>1250</v>
      </c>
      <c r="K211" s="210"/>
      <c r="L211" s="210"/>
      <c r="M211" s="2" t="s">
        <v>91</v>
      </c>
      <c r="N211" s="215">
        <f>AG206*10</f>
        <v>18.3</v>
      </c>
      <c r="O211" s="215"/>
      <c r="P211" s="215"/>
      <c r="Q211" s="4" t="s">
        <v>424</v>
      </c>
      <c r="R211" s="231">
        <f>J211/N211</f>
        <v>68.30601092896174</v>
      </c>
      <c r="S211" s="231"/>
      <c r="T211" s="231"/>
    </row>
    <row r="212" spans="1:8" ht="12.75">
      <c r="A212" s="145"/>
      <c r="B212" s="1"/>
      <c r="H212" s="2"/>
    </row>
    <row r="213" spans="1:49" ht="16.5">
      <c r="A213" s="145"/>
      <c r="B213" s="14" t="s">
        <v>101</v>
      </c>
      <c r="C213" s="15"/>
      <c r="D213" s="15"/>
      <c r="E213" s="15"/>
      <c r="F213" s="15"/>
      <c r="G213" s="15"/>
      <c r="H213" s="15"/>
      <c r="I213" s="26"/>
      <c r="J213" s="47"/>
      <c r="K213" s="47"/>
      <c r="L213" s="26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297" t="s">
        <v>449</v>
      </c>
      <c r="AJ213" s="298"/>
      <c r="AK213" s="298"/>
      <c r="AL213" s="47" t="s">
        <v>424</v>
      </c>
      <c r="AM213" s="247">
        <f>IF(R211&lt;=60,0.0001292*R211^1.89+1,IF(R211&lt;=85,0.00004627*R211^2.14+1,IF(R211&lt;=115,0.00001711*R211^2.35+1.04,IF(R211&lt;=250,0.00016877*R211^2))))</f>
        <v>1.3899793358412773</v>
      </c>
      <c r="AN213" s="247"/>
      <c r="AO213" s="247"/>
      <c r="AP213" s="47"/>
      <c r="AQ213" s="26" t="s">
        <v>360</v>
      </c>
      <c r="AR213" s="47"/>
      <c r="AS213" s="47"/>
      <c r="AT213" s="47"/>
      <c r="AU213" s="47"/>
      <c r="AV213" s="47"/>
      <c r="AW213" s="55"/>
    </row>
    <row r="214" spans="1:49" ht="16.5">
      <c r="A214" s="145"/>
      <c r="B214" s="33" t="s">
        <v>102</v>
      </c>
      <c r="C214" s="40"/>
      <c r="D214" s="40"/>
      <c r="E214" s="40"/>
      <c r="F214" s="40"/>
      <c r="G214" s="40"/>
      <c r="H214" s="40"/>
      <c r="I214" s="36"/>
      <c r="J214" s="45"/>
      <c r="K214" s="45"/>
      <c r="L214" s="3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238" t="s">
        <v>450</v>
      </c>
      <c r="AJ214" s="226"/>
      <c r="AK214" s="226"/>
      <c r="AL214" s="45" t="s">
        <v>424</v>
      </c>
      <c r="AM214" s="247">
        <f>IF(R211&lt;=50,0.0000824*R211^2.06+1.021,IF(R211&lt;=70,0.00001895*R211^2.41+1.05,IF(R211&lt;=89,0.00002447*R211^2.36+1.03,IF(R211&lt;=250,0.0002533*R211^2))))</f>
        <v>1.5496377217620168</v>
      </c>
      <c r="AN214" s="247"/>
      <c r="AO214" s="247"/>
      <c r="AP214" s="45"/>
      <c r="AQ214" s="35" t="s">
        <v>361</v>
      </c>
      <c r="AR214" s="45"/>
      <c r="AS214" s="45"/>
      <c r="AT214" s="45"/>
      <c r="AU214" s="45"/>
      <c r="AV214" s="45"/>
      <c r="AW214" s="56"/>
    </row>
    <row r="215" spans="1:49" ht="14.25">
      <c r="A215" s="145"/>
      <c r="B215" s="34" t="s">
        <v>451</v>
      </c>
      <c r="C215" s="35"/>
      <c r="D215" s="35"/>
      <c r="E215" s="35"/>
      <c r="F215" s="45"/>
      <c r="G215" s="45"/>
      <c r="H215" s="36"/>
      <c r="I215" s="36"/>
      <c r="J215" s="45"/>
      <c r="K215" s="45"/>
      <c r="L215" s="3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226" t="s">
        <v>452</v>
      </c>
      <c r="AM215" s="226"/>
      <c r="AN215" s="35" t="s">
        <v>424</v>
      </c>
      <c r="AO215" s="226">
        <v>370</v>
      </c>
      <c r="AP215" s="226"/>
      <c r="AQ215" s="226"/>
      <c r="AR215" s="45" t="s">
        <v>106</v>
      </c>
      <c r="AS215" s="45"/>
      <c r="AT215" s="45"/>
      <c r="AU215" s="45"/>
      <c r="AV215" s="45"/>
      <c r="AW215" s="56"/>
    </row>
    <row r="216" spans="1:49" ht="13.5">
      <c r="A216" s="145"/>
      <c r="B216" s="251" t="s">
        <v>365</v>
      </c>
      <c r="C216" s="252"/>
      <c r="D216" s="131" t="s">
        <v>366</v>
      </c>
      <c r="E216" s="132"/>
      <c r="F216" s="132"/>
      <c r="G216" s="132"/>
      <c r="H216" s="132"/>
      <c r="I216" s="130"/>
      <c r="J216" s="46" t="s">
        <v>362</v>
      </c>
      <c r="K216" s="46"/>
      <c r="L216" s="252" t="s">
        <v>363</v>
      </c>
      <c r="M216" s="252"/>
      <c r="N216" s="133" t="s">
        <v>364</v>
      </c>
      <c r="O216" s="132"/>
      <c r="P216" s="132"/>
      <c r="Q216" s="132"/>
      <c r="R216" s="132"/>
      <c r="S216" s="134" t="s">
        <v>367</v>
      </c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9"/>
    </row>
    <row r="217" spans="1:8" ht="12.75">
      <c r="A217" s="145"/>
      <c r="B217" s="2" t="s">
        <v>368</v>
      </c>
      <c r="C217" s="4"/>
      <c r="D217" s="4"/>
      <c r="E217" s="4"/>
      <c r="F217" s="4"/>
      <c r="H217" s="2"/>
    </row>
    <row r="218" spans="1:8" ht="12.75">
      <c r="A218" s="145"/>
      <c r="B218" s="4" t="s">
        <v>461</v>
      </c>
      <c r="H218" s="2"/>
    </row>
    <row r="219" spans="1:8" ht="12.75">
      <c r="A219" s="145"/>
      <c r="B219" s="1"/>
      <c r="H219" s="2"/>
    </row>
    <row r="220" spans="1:22" ht="12.75">
      <c r="A220" s="145"/>
      <c r="H220" s="4"/>
      <c r="I220" s="4"/>
      <c r="J220" s="4"/>
      <c r="K220" s="4"/>
      <c r="L220" s="4"/>
      <c r="V220" s="4"/>
    </row>
    <row r="221" spans="1:8" ht="12.75">
      <c r="A221" s="145"/>
      <c r="B221" s="1"/>
      <c r="H221" s="2"/>
    </row>
    <row r="222" spans="1:8" ht="12.75">
      <c r="A222" s="145"/>
      <c r="B222" s="1"/>
      <c r="H222" s="2"/>
    </row>
    <row r="223" spans="1:36" ht="12.75">
      <c r="A223" s="145"/>
      <c r="B223" s="147" t="s">
        <v>372</v>
      </c>
      <c r="C223" s="147"/>
      <c r="D223" s="147"/>
      <c r="E223" s="147"/>
      <c r="F223" s="147"/>
      <c r="G223" s="147"/>
      <c r="H223" s="147"/>
      <c r="I223" s="147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AH223" s="2" t="s">
        <v>373</v>
      </c>
      <c r="AJ223" s="2">
        <v>2</v>
      </c>
    </row>
    <row r="224" spans="1:8" ht="12.75">
      <c r="A224" s="145"/>
      <c r="B224" s="1"/>
      <c r="H224" s="2"/>
    </row>
    <row r="225" spans="1:49" ht="16.5">
      <c r="A225" s="145"/>
      <c r="B225" s="25" t="s">
        <v>453</v>
      </c>
      <c r="C225" s="47"/>
      <c r="D225" s="47"/>
      <c r="E225" s="47"/>
      <c r="F225" s="47"/>
      <c r="G225" s="47"/>
      <c r="H225" s="47"/>
      <c r="I225" s="21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26" t="s">
        <v>369</v>
      </c>
      <c r="AI225" s="47"/>
      <c r="AJ225" s="246">
        <f>LOOKUP($AM$31,Sayfa2!$S$6:$S$13,Sayfa2!$U$6:$U$13)*100</f>
        <v>1570</v>
      </c>
      <c r="AK225" s="246"/>
      <c r="AL225" s="246"/>
      <c r="AM225" s="246"/>
      <c r="AN225" s="47" t="s">
        <v>370</v>
      </c>
      <c r="AO225" s="47"/>
      <c r="AP225" s="47"/>
      <c r="AQ225" s="47"/>
      <c r="AR225" s="47"/>
      <c r="AS225" s="47"/>
      <c r="AT225" s="47"/>
      <c r="AU225" s="47"/>
      <c r="AV225" s="47"/>
      <c r="AW225" s="55"/>
    </row>
    <row r="226" spans="1:49" ht="15.75">
      <c r="A226" s="145"/>
      <c r="B226" s="16" t="s">
        <v>454</v>
      </c>
      <c r="C226" s="46"/>
      <c r="D226" s="46"/>
      <c r="E226" s="46"/>
      <c r="F226" s="46"/>
      <c r="G226" s="46"/>
      <c r="H226" s="46"/>
      <c r="I226" s="13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17" t="s">
        <v>371</v>
      </c>
      <c r="AI226" s="46"/>
      <c r="AJ226" s="320">
        <f>AM22*9.81</f>
        <v>392.40000000000003</v>
      </c>
      <c r="AK226" s="320"/>
      <c r="AL226" s="320"/>
      <c r="AM226" s="46" t="s">
        <v>113</v>
      </c>
      <c r="AN226" s="46"/>
      <c r="AO226" s="46"/>
      <c r="AP226" s="46"/>
      <c r="AQ226" s="46"/>
      <c r="AR226" s="46"/>
      <c r="AS226" s="46"/>
      <c r="AT226" s="46"/>
      <c r="AU226" s="46"/>
      <c r="AV226" s="46"/>
      <c r="AW226" s="49"/>
    </row>
    <row r="227" spans="1:8" ht="12.75">
      <c r="A227" s="145"/>
      <c r="H227" s="2"/>
    </row>
    <row r="228" spans="1:28" ht="12.75">
      <c r="A228" s="145"/>
      <c r="B228" s="1"/>
      <c r="H228" s="2"/>
      <c r="N228" s="2" t="s">
        <v>92</v>
      </c>
      <c r="O228" s="218">
        <f>AG203</f>
        <v>5605.714285714285</v>
      </c>
      <c r="P228" s="218"/>
      <c r="Q228" s="218"/>
      <c r="R228" s="218"/>
      <c r="S228" s="60" t="s">
        <v>88</v>
      </c>
      <c r="T228" s="2">
        <f>AJ223</f>
        <v>2</v>
      </c>
      <c r="U228" s="2" t="s">
        <v>100</v>
      </c>
      <c r="V228" s="210">
        <f>AJ226</f>
        <v>392.40000000000003</v>
      </c>
      <c r="W228" s="210"/>
      <c r="X228" s="210"/>
      <c r="Y228" s="5" t="s">
        <v>29</v>
      </c>
      <c r="Z228" s="293">
        <f>AM213</f>
        <v>1.3899793358412773</v>
      </c>
      <c r="AA228" s="293"/>
      <c r="AB228" s="293"/>
    </row>
    <row r="229" spans="1:34" ht="16.5">
      <c r="A229" s="145"/>
      <c r="F229" s="4"/>
      <c r="G229" s="4"/>
      <c r="H229" s="4"/>
      <c r="J229" s="4"/>
      <c r="K229" s="4"/>
      <c r="O229" s="2" t="s">
        <v>424</v>
      </c>
      <c r="P229" s="223" t="s">
        <v>58</v>
      </c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4" t="s">
        <v>424</v>
      </c>
      <c r="AD229" s="228">
        <f>((O228+(T228*V228))*Z228)/S230</f>
        <v>5.6577597468416165</v>
      </c>
      <c r="AE229" s="228"/>
      <c r="AF229" s="228"/>
      <c r="AG229" s="228"/>
      <c r="AH229" s="95" t="s">
        <v>132</v>
      </c>
    </row>
    <row r="230" spans="1:22" ht="12.75">
      <c r="A230" s="145"/>
      <c r="S230" s="215">
        <f>AJ225</f>
        <v>1570</v>
      </c>
      <c r="T230" s="215"/>
      <c r="U230" s="215"/>
      <c r="V230" s="215"/>
    </row>
    <row r="231" ht="12.75">
      <c r="A231" s="145"/>
    </row>
    <row r="232" spans="1:11" ht="12.75">
      <c r="A232" s="145"/>
      <c r="B232" s="200" t="s">
        <v>502</v>
      </c>
      <c r="C232" s="149"/>
      <c r="D232" s="149"/>
      <c r="E232" s="149"/>
      <c r="F232" s="149"/>
      <c r="G232" s="149"/>
      <c r="H232" s="149"/>
      <c r="I232" s="150"/>
      <c r="J232" s="149"/>
      <c r="K232" s="149"/>
    </row>
    <row r="233" spans="1:8" ht="12.75">
      <c r="A233" s="145"/>
      <c r="B233" s="22"/>
      <c r="H233" s="2"/>
    </row>
    <row r="234" spans="1:8" ht="12.75">
      <c r="A234" s="145"/>
      <c r="B234" s="22"/>
      <c r="H234" s="2"/>
    </row>
    <row r="235" spans="1:16" ht="15.75">
      <c r="A235" s="145"/>
      <c r="H235" s="2"/>
      <c r="P235" s="10" t="s">
        <v>103</v>
      </c>
    </row>
    <row r="236" spans="1:8" ht="12.75">
      <c r="A236" s="145"/>
      <c r="H236" s="2"/>
    </row>
    <row r="237" spans="1:8" ht="15.75">
      <c r="A237" s="145"/>
      <c r="F237" s="2" t="s">
        <v>503</v>
      </c>
      <c r="H237" s="2"/>
    </row>
    <row r="238" spans="1:8" ht="12.75">
      <c r="A238" s="145"/>
      <c r="H238" s="2"/>
    </row>
    <row r="239" spans="1:8" ht="12.75">
      <c r="A239" s="145"/>
      <c r="F239" s="2" t="s">
        <v>504</v>
      </c>
      <c r="H239" s="2"/>
    </row>
    <row r="240" spans="1:8" ht="12.75">
      <c r="A240" s="145"/>
      <c r="H240" s="2"/>
    </row>
    <row r="241" spans="1:36" ht="15.75">
      <c r="A241" s="145"/>
      <c r="B241" s="104" t="s">
        <v>456</v>
      </c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  <c r="AD241" s="135"/>
      <c r="AE241" s="135"/>
      <c r="AF241" s="135"/>
      <c r="AG241" s="294" t="s">
        <v>104</v>
      </c>
      <c r="AH241" s="294"/>
      <c r="AI241" s="299">
        <v>3</v>
      </c>
      <c r="AJ241" s="300"/>
    </row>
    <row r="242" spans="1:38" ht="12.75">
      <c r="A242" s="145"/>
      <c r="B242" s="40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</row>
    <row r="243" spans="1:8" ht="12.75">
      <c r="A243" s="145"/>
      <c r="B243" s="1"/>
      <c r="H243" s="2"/>
    </row>
    <row r="244" spans="1:8" ht="12.75">
      <c r="A244" s="145"/>
      <c r="B244" s="4" t="s">
        <v>505</v>
      </c>
      <c r="H244" s="2"/>
    </row>
    <row r="245" spans="1:8" ht="12.75">
      <c r="A245" s="145"/>
      <c r="H245" s="2"/>
    </row>
    <row r="246" spans="1:50" ht="16.5">
      <c r="A246" s="145"/>
      <c r="H246" s="2"/>
      <c r="J246" s="223" t="s">
        <v>105</v>
      </c>
      <c r="K246" s="210"/>
      <c r="L246" s="210"/>
      <c r="M246" s="210"/>
      <c r="N246" s="2" t="s">
        <v>424</v>
      </c>
      <c r="O246" s="228">
        <f>AO215/AI241</f>
        <v>123.33333333333333</v>
      </c>
      <c r="P246" s="228"/>
      <c r="Q246" s="228"/>
      <c r="R246" s="228"/>
      <c r="S246" s="35" t="s">
        <v>132</v>
      </c>
      <c r="AQ246" s="312" t="s">
        <v>619</v>
      </c>
      <c r="AR246" s="312"/>
      <c r="AS246" s="312"/>
      <c r="AT246" s="312"/>
      <c r="AU246" s="312"/>
      <c r="AV246" s="312"/>
      <c r="AW246" s="312"/>
      <c r="AX246" s="312"/>
    </row>
    <row r="247" spans="1:15" ht="12.75">
      <c r="A247" s="145"/>
      <c r="H247" s="2"/>
      <c r="O247" s="1"/>
    </row>
    <row r="248" spans="1:15" ht="12.75">
      <c r="A248" s="145"/>
      <c r="H248" s="2"/>
      <c r="O248" s="1"/>
    </row>
    <row r="249" spans="1:15" ht="12.75">
      <c r="A249" s="145"/>
      <c r="H249" s="2"/>
      <c r="O249" s="1"/>
    </row>
    <row r="250" spans="1:8" ht="12.75">
      <c r="A250" s="145"/>
      <c r="B250" s="4" t="s">
        <v>457</v>
      </c>
      <c r="H250" s="2"/>
    </row>
    <row r="251" spans="1:8" ht="12.75">
      <c r="A251" s="145"/>
      <c r="H251" s="2"/>
    </row>
    <row r="252" spans="1:41" ht="16.5">
      <c r="A252" s="145"/>
      <c r="F252" s="24" t="s">
        <v>107</v>
      </c>
      <c r="H252" s="2"/>
      <c r="L252" s="24"/>
      <c r="Q252" s="237">
        <f>O189</f>
        <v>4.206874560168895</v>
      </c>
      <c r="R252" s="237"/>
      <c r="S252" s="237"/>
      <c r="T252" s="2" t="s">
        <v>88</v>
      </c>
      <c r="U252" s="237">
        <f>U173</f>
        <v>31.215612569180212</v>
      </c>
      <c r="V252" s="237"/>
      <c r="W252" s="237"/>
      <c r="X252" s="35" t="s">
        <v>132</v>
      </c>
      <c r="AB252" s="2" t="s">
        <v>424</v>
      </c>
      <c r="AC252" s="228">
        <f>Q252+U252</f>
        <v>35.42248712934911</v>
      </c>
      <c r="AD252" s="228"/>
      <c r="AE252" s="228"/>
      <c r="AF252" s="35" t="s">
        <v>132</v>
      </c>
      <c r="AJ252" s="4" t="s">
        <v>48</v>
      </c>
      <c r="AK252" s="228">
        <f>O246</f>
        <v>123.33333333333333</v>
      </c>
      <c r="AL252" s="228"/>
      <c r="AM252" s="228"/>
      <c r="AN252" s="228"/>
      <c r="AO252" s="35" t="s">
        <v>132</v>
      </c>
    </row>
    <row r="253" spans="1:20" ht="14.25">
      <c r="A253" s="145"/>
      <c r="H253" s="2"/>
      <c r="T253" s="2" t="s">
        <v>111</v>
      </c>
    </row>
    <row r="254" spans="1:28" ht="15.75">
      <c r="A254" s="145"/>
      <c r="H254" s="2"/>
      <c r="N254" s="24" t="s">
        <v>47</v>
      </c>
      <c r="P254" s="24" t="s">
        <v>108</v>
      </c>
      <c r="R254" s="2" t="s">
        <v>88</v>
      </c>
      <c r="S254" s="74" t="s">
        <v>109</v>
      </c>
      <c r="AA254" s="250" t="s">
        <v>458</v>
      </c>
      <c r="AB254" s="250"/>
    </row>
    <row r="255" spans="1:22" ht="12.75">
      <c r="A255" s="145"/>
      <c r="B255" s="1"/>
      <c r="H255" s="2"/>
      <c r="V255" s="2" t="s">
        <v>110</v>
      </c>
    </row>
    <row r="256" spans="1:31" ht="12.75">
      <c r="A256" s="145"/>
      <c r="B256" s="1"/>
      <c r="H256" s="2"/>
      <c r="T256" s="217">
        <f>AG203</f>
        <v>5605.714285714285</v>
      </c>
      <c r="U256" s="210"/>
      <c r="V256" s="210"/>
      <c r="W256" s="210"/>
      <c r="X256" s="2" t="s">
        <v>88</v>
      </c>
      <c r="Y256" s="2" t="s">
        <v>92</v>
      </c>
      <c r="Z256" s="2">
        <f>AJ223</f>
        <v>2</v>
      </c>
      <c r="AA256" s="2" t="s">
        <v>100</v>
      </c>
      <c r="AB256" s="218">
        <f>AJ226</f>
        <v>392.40000000000003</v>
      </c>
      <c r="AC256" s="218"/>
      <c r="AD256" s="218"/>
      <c r="AE256" s="2" t="s">
        <v>93</v>
      </c>
    </row>
    <row r="257" spans="1:44" ht="16.5">
      <c r="A257" s="145"/>
      <c r="H257" s="2"/>
      <c r="O257" s="2" t="s">
        <v>424</v>
      </c>
      <c r="P257" s="215">
        <f>AC252</f>
        <v>35.42248712934911</v>
      </c>
      <c r="Q257" s="215"/>
      <c r="R257" s="215"/>
      <c r="S257" s="2" t="s">
        <v>88</v>
      </c>
      <c r="T257" s="223" t="s">
        <v>523</v>
      </c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" t="s">
        <v>424</v>
      </c>
      <c r="AF257" s="209">
        <f>P257+((T256+(Z256*AB256))/W258)</f>
        <v>39.492878394135275</v>
      </c>
      <c r="AG257" s="209"/>
      <c r="AH257" s="209"/>
      <c r="AI257" s="35" t="s">
        <v>132</v>
      </c>
      <c r="AM257" s="4" t="s">
        <v>48</v>
      </c>
      <c r="AN257" s="228">
        <f>O246</f>
        <v>123.33333333333333</v>
      </c>
      <c r="AO257" s="228"/>
      <c r="AP257" s="228"/>
      <c r="AQ257" s="228"/>
      <c r="AR257" s="35" t="s">
        <v>132</v>
      </c>
    </row>
    <row r="258" spans="1:26" ht="12.75">
      <c r="A258" s="145"/>
      <c r="C258" s="42"/>
      <c r="H258" s="2"/>
      <c r="W258" s="215">
        <f>AJ225</f>
        <v>1570</v>
      </c>
      <c r="X258" s="215"/>
      <c r="Y258" s="215"/>
      <c r="Z258" s="215"/>
    </row>
    <row r="259" spans="1:22" ht="12.75">
      <c r="A259" s="145"/>
      <c r="B259" s="1"/>
      <c r="H259" s="2"/>
      <c r="V259" s="42"/>
    </row>
    <row r="260" spans="1:8" ht="14.25">
      <c r="A260" s="145"/>
      <c r="F260" s="99" t="s">
        <v>46</v>
      </c>
      <c r="H260" s="2"/>
    </row>
    <row r="261" spans="1:8" ht="12.75">
      <c r="A261" s="145"/>
      <c r="H261" s="2"/>
    </row>
    <row r="262" spans="1:41" ht="16.5">
      <c r="A262" s="145"/>
      <c r="B262" s="1"/>
      <c r="G262" s="2" t="s">
        <v>424</v>
      </c>
      <c r="H262" s="323">
        <f>AD229</f>
        <v>5.6577597468416165</v>
      </c>
      <c r="I262" s="323"/>
      <c r="J262" s="323"/>
      <c r="K262" s="2" t="s">
        <v>88</v>
      </c>
      <c r="L262" s="215">
        <v>0.9</v>
      </c>
      <c r="M262" s="215"/>
      <c r="N262" s="215"/>
      <c r="O262" s="2" t="s">
        <v>90</v>
      </c>
      <c r="P262" s="215">
        <f>AC252</f>
        <v>35.42248712934911</v>
      </c>
      <c r="Q262" s="210"/>
      <c r="R262" s="210"/>
      <c r="S262" s="210"/>
      <c r="T262" s="2" t="s">
        <v>424</v>
      </c>
      <c r="U262" s="228">
        <f>H262+(L262*P262)</f>
        <v>37.537998163255814</v>
      </c>
      <c r="V262" s="209"/>
      <c r="W262" s="209"/>
      <c r="X262" s="35" t="s">
        <v>132</v>
      </c>
      <c r="AB262" s="4" t="s">
        <v>48</v>
      </c>
      <c r="AC262" s="220">
        <f>O246</f>
        <v>123.33333333333333</v>
      </c>
      <c r="AD262" s="220"/>
      <c r="AE262" s="220"/>
      <c r="AF262" s="220"/>
      <c r="AG262" s="35" t="s">
        <v>132</v>
      </c>
      <c r="AO262" s="4"/>
    </row>
    <row r="263" spans="1:41" ht="12.75">
      <c r="A263" s="145"/>
      <c r="B263" s="1"/>
      <c r="H263" s="2"/>
      <c r="AK263" s="279"/>
      <c r="AL263" s="279"/>
      <c r="AM263" s="279"/>
      <c r="AN263" s="279"/>
      <c r="AO263" s="4"/>
    </row>
    <row r="264" spans="1:14" ht="12.75">
      <c r="A264" s="145"/>
      <c r="B264" s="202" t="s">
        <v>506</v>
      </c>
      <c r="C264" s="149"/>
      <c r="D264" s="149"/>
      <c r="E264" s="149"/>
      <c r="F264" s="149"/>
      <c r="G264" s="149"/>
      <c r="H264" s="149"/>
      <c r="I264" s="150"/>
      <c r="J264" s="149"/>
      <c r="K264" s="149"/>
      <c r="L264" s="149"/>
      <c r="M264" s="149"/>
      <c r="N264" s="149"/>
    </row>
    <row r="265" spans="1:36" ht="15.75">
      <c r="A265" s="145"/>
      <c r="B265" s="4" t="s">
        <v>76</v>
      </c>
      <c r="H265" s="2"/>
      <c r="AG265" s="228">
        <f>LOOKUP($AM$31,Sayfa2!$S$6:$S$13,Sayfa2!$T$6:$T$13)</f>
        <v>9.5</v>
      </c>
      <c r="AH265" s="228"/>
      <c r="AI265" s="101" t="s">
        <v>426</v>
      </c>
      <c r="AJ265" s="101"/>
    </row>
    <row r="266" spans="1:8" ht="12.75">
      <c r="A266" s="145"/>
      <c r="B266" s="1"/>
      <c r="H266" s="2"/>
    </row>
    <row r="267" spans="1:30" ht="16.5">
      <c r="A267" s="145"/>
      <c r="H267" s="2"/>
      <c r="J267" s="28" t="s">
        <v>458</v>
      </c>
      <c r="P267" s="2" t="s">
        <v>424</v>
      </c>
      <c r="Q267" s="228">
        <f>(1.85*AT101)/(AG265^2)</f>
        <v>34.47281361297982</v>
      </c>
      <c r="R267" s="228"/>
      <c r="S267" s="228"/>
      <c r="T267" s="4" t="s">
        <v>106</v>
      </c>
      <c r="U267" s="102"/>
      <c r="V267" s="102"/>
      <c r="W267" s="102"/>
      <c r="X267" s="4" t="s">
        <v>48</v>
      </c>
      <c r="Z267" s="228">
        <f>O246</f>
        <v>123.33333333333333</v>
      </c>
      <c r="AA267" s="228"/>
      <c r="AB267" s="228"/>
      <c r="AC267" s="228"/>
      <c r="AD267" s="35" t="s">
        <v>132</v>
      </c>
    </row>
    <row r="268" spans="1:8" ht="12.75">
      <c r="A268" s="145"/>
      <c r="H268" s="2"/>
    </row>
    <row r="269" spans="1:40" ht="15.75">
      <c r="A269" s="145"/>
      <c r="B269" s="23"/>
      <c r="H269" s="2"/>
      <c r="AN269" s="29"/>
    </row>
    <row r="270" spans="1:11" ht="12.75">
      <c r="A270" s="145"/>
      <c r="B270" s="202" t="s">
        <v>507</v>
      </c>
      <c r="C270" s="149"/>
      <c r="D270" s="149"/>
      <c r="E270" s="149"/>
      <c r="F270" s="149"/>
      <c r="G270" s="149"/>
      <c r="H270" s="149"/>
      <c r="I270" s="150"/>
      <c r="J270" s="149"/>
      <c r="K270" s="149"/>
    </row>
    <row r="271" spans="1:41" ht="16.5">
      <c r="A271" s="145"/>
      <c r="B271" s="25" t="s">
        <v>459</v>
      </c>
      <c r="C271" s="47"/>
      <c r="D271" s="47"/>
      <c r="E271" s="47"/>
      <c r="F271" s="47"/>
      <c r="G271" s="47"/>
      <c r="H271" s="47"/>
      <c r="I271" s="21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26" t="s">
        <v>460</v>
      </c>
      <c r="X271" s="249" t="s">
        <v>56</v>
      </c>
      <c r="Y271" s="249"/>
      <c r="Z271" s="249"/>
      <c r="AA271" s="249"/>
      <c r="AB271" s="249"/>
      <c r="AC271" s="249"/>
      <c r="AD271" s="249"/>
      <c r="AE271" s="47" t="s">
        <v>424</v>
      </c>
      <c r="AF271" s="212">
        <f>21000*9.81</f>
        <v>206010</v>
      </c>
      <c r="AG271" s="212"/>
      <c r="AH271" s="212"/>
      <c r="AI271" s="212"/>
      <c r="AJ271" s="212"/>
      <c r="AK271" s="35" t="s">
        <v>132</v>
      </c>
      <c r="AL271" s="47"/>
      <c r="AM271" s="55"/>
      <c r="AN271" s="47"/>
      <c r="AO271" s="55"/>
    </row>
    <row r="272" spans="1:41" ht="16.5">
      <c r="A272" s="145"/>
      <c r="B272" s="34" t="s">
        <v>461</v>
      </c>
      <c r="C272" s="45"/>
      <c r="D272" s="45"/>
      <c r="E272" s="45"/>
      <c r="F272" s="45"/>
      <c r="G272" s="45"/>
      <c r="H272" s="45"/>
      <c r="I272" s="36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35" t="s">
        <v>462</v>
      </c>
      <c r="X272" s="35" t="s">
        <v>424</v>
      </c>
      <c r="Y272" s="212">
        <f>LOOKUP($AM$31,Sayfa2!$S$6:$S$13,Sayfa2!$Y$6:$Y$13)*10000</f>
        <v>525000</v>
      </c>
      <c r="Z272" s="212"/>
      <c r="AA272" s="212"/>
      <c r="AB272" s="212"/>
      <c r="AC272" s="212"/>
      <c r="AD272" s="45" t="s">
        <v>57</v>
      </c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56"/>
    </row>
    <row r="273" spans="1:41" ht="12.75">
      <c r="A273" s="145"/>
      <c r="B273" s="106"/>
      <c r="C273" s="46"/>
      <c r="D273" s="46"/>
      <c r="E273" s="46"/>
      <c r="F273" s="46"/>
      <c r="G273" s="46"/>
      <c r="H273" s="46"/>
      <c r="I273" s="13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9"/>
    </row>
    <row r="274" spans="1:27" ht="12.75">
      <c r="A274" s="145"/>
      <c r="H274" s="2"/>
      <c r="I274" s="2"/>
      <c r="W274" s="208" t="s">
        <v>54</v>
      </c>
      <c r="X274" s="210"/>
      <c r="Y274" s="6" t="s">
        <v>424</v>
      </c>
      <c r="Z274" s="5">
        <v>5</v>
      </c>
      <c r="AA274" s="2" t="s">
        <v>55</v>
      </c>
    </row>
    <row r="275" spans="1:8" ht="12.75">
      <c r="A275" s="145"/>
      <c r="B275" s="12"/>
      <c r="H275" s="2"/>
    </row>
    <row r="276" spans="1:8" ht="12.75">
      <c r="A276" s="145"/>
      <c r="B276" s="9" t="s">
        <v>463</v>
      </c>
      <c r="H276" s="2"/>
    </row>
    <row r="277" spans="1:8" ht="12.75">
      <c r="A277" s="145"/>
      <c r="B277" s="31" t="s">
        <v>52</v>
      </c>
      <c r="H277" s="2"/>
    </row>
    <row r="278" spans="1:8" ht="12.75">
      <c r="A278" s="145"/>
      <c r="B278" s="30" t="s">
        <v>53</v>
      </c>
      <c r="H278" s="2"/>
    </row>
    <row r="279" spans="1:8" ht="12.75">
      <c r="A279" s="145"/>
      <c r="B279" s="1"/>
      <c r="H279" s="2"/>
    </row>
    <row r="280" spans="1:14" ht="15.75">
      <c r="A280" s="145"/>
      <c r="H280" s="2"/>
      <c r="N280" s="28" t="s">
        <v>458</v>
      </c>
    </row>
    <row r="281" spans="1:8" ht="12.75">
      <c r="A281" s="145"/>
      <c r="H281" s="2"/>
    </row>
    <row r="282" spans="1:22" ht="12.75">
      <c r="A282" s="145"/>
      <c r="B282" s="1"/>
      <c r="H282" s="2"/>
      <c r="J282" s="218">
        <f>AT163</f>
        <v>1571.6020408163265</v>
      </c>
      <c r="K282" s="218"/>
      <c r="L282" s="218"/>
      <c r="M282" s="2" t="s">
        <v>59</v>
      </c>
      <c r="N282" s="217">
        <f>AM15^3</f>
        <v>1953125000</v>
      </c>
      <c r="O282" s="217"/>
      <c r="P282" s="217"/>
      <c r="Q282" s="217"/>
      <c r="R282" s="217"/>
      <c r="S282" s="217"/>
      <c r="T282" s="217"/>
      <c r="U282" s="217"/>
      <c r="V282" s="217"/>
    </row>
    <row r="283" spans="1:33" ht="13.5" customHeight="1">
      <c r="A283" s="145"/>
      <c r="E283" s="2" t="s">
        <v>424</v>
      </c>
      <c r="F283" s="215">
        <v>0.7</v>
      </c>
      <c r="G283" s="215"/>
      <c r="H283" s="5" t="s">
        <v>100</v>
      </c>
      <c r="I283" s="74" t="s">
        <v>58</v>
      </c>
      <c r="W283" s="2" t="s">
        <v>424</v>
      </c>
      <c r="X283" s="209">
        <f>(F283*J282*N282)/(J284*M284*S284)</f>
        <v>0.4138870329877982</v>
      </c>
      <c r="Y283" s="209"/>
      <c r="Z283" s="209"/>
      <c r="AA283" s="6" t="s">
        <v>426</v>
      </c>
      <c r="AD283" s="28" t="s">
        <v>458</v>
      </c>
      <c r="AF283" s="197">
        <f>Z274</f>
        <v>5</v>
      </c>
      <c r="AG283" s="2" t="s">
        <v>426</v>
      </c>
    </row>
    <row r="284" spans="1:35" ht="12.75">
      <c r="A284" s="145"/>
      <c r="B284" s="1"/>
      <c r="H284" s="2"/>
      <c r="J284" s="210">
        <v>48</v>
      </c>
      <c r="K284" s="210"/>
      <c r="L284" s="2" t="s">
        <v>100</v>
      </c>
      <c r="M284" s="218">
        <f>AF271</f>
        <v>206010</v>
      </c>
      <c r="N284" s="218"/>
      <c r="O284" s="218"/>
      <c r="P284" s="218"/>
      <c r="Q284" s="218"/>
      <c r="R284" s="4" t="s">
        <v>100</v>
      </c>
      <c r="S284" s="217">
        <f>Y272</f>
        <v>525000</v>
      </c>
      <c r="T284" s="210"/>
      <c r="U284" s="210"/>
      <c r="V284" s="210"/>
      <c r="W284" s="210"/>
      <c r="AI284" s="4"/>
    </row>
    <row r="285" spans="1:35" ht="12.75">
      <c r="A285" s="145"/>
      <c r="B285" s="1"/>
      <c r="H285" s="2"/>
      <c r="J285" s="5"/>
      <c r="K285" s="5"/>
      <c r="M285" s="137"/>
      <c r="N285" s="137"/>
      <c r="O285" s="137"/>
      <c r="P285" s="137"/>
      <c r="Q285" s="137"/>
      <c r="R285" s="4"/>
      <c r="S285" s="97"/>
      <c r="T285" s="5"/>
      <c r="U285" s="5"/>
      <c r="V285" s="5"/>
      <c r="W285" s="5"/>
      <c r="AI285" s="4"/>
    </row>
    <row r="286" spans="1:40" ht="16.5">
      <c r="A286" s="145"/>
      <c r="B286" s="104" t="s">
        <v>461</v>
      </c>
      <c r="C286" s="53"/>
      <c r="D286" s="53"/>
      <c r="E286" s="53"/>
      <c r="F286" s="53"/>
      <c r="G286" s="53"/>
      <c r="H286" s="53"/>
      <c r="I286" s="48"/>
      <c r="J286" s="53"/>
      <c r="K286" s="135" t="s">
        <v>376</v>
      </c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135" t="s">
        <v>464</v>
      </c>
      <c r="AE286" s="138" t="s">
        <v>424</v>
      </c>
      <c r="AF286" s="212">
        <f>LOOKUP($AM$31,Sayfa2!$S$6:$S$13,Sayfa2!$X$6:$X$13)*10000</f>
        <v>596000</v>
      </c>
      <c r="AG286" s="212"/>
      <c r="AH286" s="212"/>
      <c r="AI286" s="212"/>
      <c r="AJ286" s="212"/>
      <c r="AK286" s="53" t="s">
        <v>57</v>
      </c>
      <c r="AL286" s="53"/>
      <c r="AM286" s="53"/>
      <c r="AN286" s="54"/>
    </row>
    <row r="287" spans="1:8" ht="12.75">
      <c r="A287" s="145"/>
      <c r="B287" s="1"/>
      <c r="H287" s="2"/>
    </row>
    <row r="288" spans="1:30" ht="15.75">
      <c r="A288" s="145"/>
      <c r="H288" s="2"/>
      <c r="N288" s="28" t="s">
        <v>458</v>
      </c>
      <c r="X288" s="217"/>
      <c r="Y288" s="217"/>
      <c r="Z288" s="217"/>
      <c r="AA288" s="217"/>
      <c r="AB288" s="217"/>
      <c r="AC288" s="217"/>
      <c r="AD288" s="217"/>
    </row>
    <row r="289" spans="1:8" ht="12.75">
      <c r="A289" s="145"/>
      <c r="E289" s="1"/>
      <c r="H289" s="2"/>
    </row>
    <row r="290" spans="1:22" ht="12.75">
      <c r="A290" s="145"/>
      <c r="I290" s="237">
        <f>AT177</f>
        <v>260.265306122449</v>
      </c>
      <c r="J290" s="237"/>
      <c r="K290" s="237"/>
      <c r="L290" s="237"/>
      <c r="M290" s="2" t="s">
        <v>100</v>
      </c>
      <c r="N290" s="217">
        <f>AM15^3</f>
        <v>1953125000</v>
      </c>
      <c r="O290" s="217"/>
      <c r="P290" s="217"/>
      <c r="Q290" s="217"/>
      <c r="R290" s="217"/>
      <c r="S290" s="217"/>
      <c r="T290" s="217"/>
      <c r="U290" s="217"/>
      <c r="V290" s="217"/>
    </row>
    <row r="291" spans="1:33" ht="15.75">
      <c r="A291" s="145"/>
      <c r="E291" s="2" t="s">
        <v>424</v>
      </c>
      <c r="F291" s="215">
        <v>0.7</v>
      </c>
      <c r="G291" s="215"/>
      <c r="H291" s="5" t="s">
        <v>100</v>
      </c>
      <c r="I291" s="223" t="s">
        <v>58</v>
      </c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4" t="s">
        <v>424</v>
      </c>
      <c r="X291" s="209">
        <f>(F291*I290*N290)/(J292*M292*S292)</f>
        <v>0.06037658701623826</v>
      </c>
      <c r="Y291" s="209"/>
      <c r="Z291" s="209"/>
      <c r="AA291" s="6" t="s">
        <v>426</v>
      </c>
      <c r="AD291" s="28" t="s">
        <v>458</v>
      </c>
      <c r="AF291" s="197">
        <f>Z274</f>
        <v>5</v>
      </c>
      <c r="AG291" s="2" t="s">
        <v>426</v>
      </c>
    </row>
    <row r="292" spans="1:34" ht="12.75">
      <c r="A292" s="145"/>
      <c r="B292" s="1"/>
      <c r="H292" s="2"/>
      <c r="J292" s="210">
        <v>48</v>
      </c>
      <c r="K292" s="210"/>
      <c r="L292" s="2" t="s">
        <v>100</v>
      </c>
      <c r="M292" s="217">
        <f>AF271</f>
        <v>206010</v>
      </c>
      <c r="N292" s="217"/>
      <c r="O292" s="217"/>
      <c r="P292" s="217"/>
      <c r="Q292" s="217"/>
      <c r="R292" s="2" t="s">
        <v>100</v>
      </c>
      <c r="S292" s="217">
        <f>AF286</f>
        <v>596000</v>
      </c>
      <c r="T292" s="210"/>
      <c r="U292" s="210"/>
      <c r="V292" s="210"/>
      <c r="W292" s="210"/>
      <c r="AH292" s="4"/>
    </row>
    <row r="293" spans="1:34" ht="12.75">
      <c r="A293" s="145"/>
      <c r="B293" s="1"/>
      <c r="H293" s="2"/>
      <c r="J293" s="5"/>
      <c r="K293" s="5"/>
      <c r="M293" s="97"/>
      <c r="N293" s="97"/>
      <c r="O293" s="97"/>
      <c r="P293" s="97"/>
      <c r="Q293" s="97"/>
      <c r="S293" s="97"/>
      <c r="T293" s="5"/>
      <c r="U293" s="5"/>
      <c r="V293" s="5"/>
      <c r="W293" s="5"/>
      <c r="AH293" s="4"/>
    </row>
    <row r="294" spans="1:34" ht="12.75">
      <c r="A294" s="145"/>
      <c r="B294" s="1"/>
      <c r="H294" s="2"/>
      <c r="J294" s="5"/>
      <c r="K294" s="5"/>
      <c r="M294" s="97"/>
      <c r="N294" s="97"/>
      <c r="O294" s="97"/>
      <c r="P294" s="97"/>
      <c r="Q294" s="97"/>
      <c r="S294" s="97"/>
      <c r="T294" s="5"/>
      <c r="U294" s="5"/>
      <c r="V294" s="5"/>
      <c r="W294" s="5"/>
      <c r="AH294" s="4"/>
    </row>
    <row r="295" spans="1:34" ht="12.75">
      <c r="A295" s="145"/>
      <c r="B295" s="1"/>
      <c r="H295" s="2"/>
      <c r="J295" s="5"/>
      <c r="K295" s="5"/>
      <c r="M295" s="97"/>
      <c r="N295" s="97"/>
      <c r="O295" s="97"/>
      <c r="P295" s="97"/>
      <c r="Q295" s="97"/>
      <c r="S295" s="97"/>
      <c r="T295" s="5"/>
      <c r="U295" s="5"/>
      <c r="V295" s="5"/>
      <c r="W295" s="5"/>
      <c r="AH295" s="4"/>
    </row>
    <row r="296" spans="1:34" ht="12.75">
      <c r="A296" s="145"/>
      <c r="B296" s="1"/>
      <c r="H296" s="2"/>
      <c r="J296" s="5"/>
      <c r="K296" s="5"/>
      <c r="M296" s="97"/>
      <c r="N296" s="97"/>
      <c r="O296" s="97"/>
      <c r="P296" s="97"/>
      <c r="Q296" s="97"/>
      <c r="S296" s="97"/>
      <c r="T296" s="5"/>
      <c r="U296" s="5"/>
      <c r="V296" s="5"/>
      <c r="W296" s="5"/>
      <c r="AH296" s="4"/>
    </row>
    <row r="297" spans="1:34" ht="12.75">
      <c r="A297" s="145"/>
      <c r="B297" s="1"/>
      <c r="H297" s="2"/>
      <c r="J297" s="5"/>
      <c r="K297" s="5"/>
      <c r="M297" s="97"/>
      <c r="N297" s="97"/>
      <c r="O297" s="97"/>
      <c r="P297" s="97"/>
      <c r="Q297" s="97"/>
      <c r="S297" s="97"/>
      <c r="T297" s="5"/>
      <c r="U297" s="5"/>
      <c r="V297" s="5"/>
      <c r="W297" s="5"/>
      <c r="AH297" s="4"/>
    </row>
    <row r="298" spans="1:34" ht="12.75">
      <c r="A298" s="145"/>
      <c r="B298" s="1"/>
      <c r="H298" s="2"/>
      <c r="J298" s="5"/>
      <c r="K298" s="5"/>
      <c r="M298" s="97"/>
      <c r="N298" s="97"/>
      <c r="O298" s="97"/>
      <c r="P298" s="97"/>
      <c r="Q298" s="97"/>
      <c r="S298" s="97"/>
      <c r="T298" s="5"/>
      <c r="U298" s="5"/>
      <c r="V298" s="5"/>
      <c r="W298" s="5"/>
      <c r="AH298" s="4"/>
    </row>
    <row r="299" spans="1:34" ht="12.75">
      <c r="A299" s="145"/>
      <c r="B299" s="1"/>
      <c r="H299" s="2"/>
      <c r="J299" s="5"/>
      <c r="K299" s="5"/>
      <c r="M299" s="97"/>
      <c r="N299" s="97"/>
      <c r="O299" s="97"/>
      <c r="P299" s="97"/>
      <c r="Q299" s="97"/>
      <c r="S299" s="97"/>
      <c r="T299" s="5"/>
      <c r="U299" s="5"/>
      <c r="V299" s="5"/>
      <c r="W299" s="5"/>
      <c r="AH299" s="4"/>
    </row>
    <row r="300" spans="1:34" ht="12.75">
      <c r="A300" s="145"/>
      <c r="B300" s="1"/>
      <c r="H300" s="2"/>
      <c r="J300" s="5"/>
      <c r="K300" s="5"/>
      <c r="M300" s="97"/>
      <c r="N300" s="97"/>
      <c r="O300" s="97"/>
      <c r="P300" s="97"/>
      <c r="Q300" s="97"/>
      <c r="S300" s="97"/>
      <c r="T300" s="5"/>
      <c r="U300" s="5"/>
      <c r="V300" s="5"/>
      <c r="W300" s="5"/>
      <c r="AH300" s="4"/>
    </row>
    <row r="301" spans="1:34" ht="12.75">
      <c r="A301" s="145"/>
      <c r="B301" s="1"/>
      <c r="H301" s="2"/>
      <c r="J301" s="5"/>
      <c r="K301" s="5"/>
      <c r="M301" s="97"/>
      <c r="N301" s="97"/>
      <c r="O301" s="97"/>
      <c r="P301" s="97"/>
      <c r="Q301" s="97"/>
      <c r="S301" s="97"/>
      <c r="T301" s="5"/>
      <c r="U301" s="5"/>
      <c r="V301" s="5"/>
      <c r="W301" s="5"/>
      <c r="AH301" s="4"/>
    </row>
    <row r="302" spans="1:34" ht="12.75">
      <c r="A302" s="145"/>
      <c r="B302" s="1"/>
      <c r="H302" s="2"/>
      <c r="J302" s="5"/>
      <c r="K302" s="5"/>
      <c r="M302" s="97"/>
      <c r="N302" s="97"/>
      <c r="O302" s="97"/>
      <c r="P302" s="97"/>
      <c r="Q302" s="97"/>
      <c r="S302" s="97"/>
      <c r="T302" s="5"/>
      <c r="U302" s="5"/>
      <c r="V302" s="5"/>
      <c r="W302" s="5"/>
      <c r="AH302" s="4"/>
    </row>
    <row r="303" spans="1:34" ht="12.75">
      <c r="A303" s="145"/>
      <c r="B303" s="1"/>
      <c r="H303" s="2"/>
      <c r="J303" s="5"/>
      <c r="K303" s="5"/>
      <c r="M303" s="97"/>
      <c r="N303" s="97"/>
      <c r="O303" s="97"/>
      <c r="P303" s="97"/>
      <c r="Q303" s="97"/>
      <c r="S303" s="97"/>
      <c r="T303" s="5"/>
      <c r="U303" s="5"/>
      <c r="V303" s="5"/>
      <c r="W303" s="5"/>
      <c r="AH303" s="4"/>
    </row>
    <row r="304" spans="1:34" ht="12.75">
      <c r="A304" s="145"/>
      <c r="B304" s="1"/>
      <c r="H304" s="2"/>
      <c r="J304" s="5"/>
      <c r="K304" s="5"/>
      <c r="M304" s="97"/>
      <c r="N304" s="97"/>
      <c r="O304" s="97"/>
      <c r="P304" s="97"/>
      <c r="Q304" s="97"/>
      <c r="S304" s="97"/>
      <c r="T304" s="5"/>
      <c r="U304" s="5"/>
      <c r="V304" s="5"/>
      <c r="W304" s="5"/>
      <c r="AH304" s="4"/>
    </row>
    <row r="305" spans="1:34" ht="12.75">
      <c r="A305" s="145"/>
      <c r="B305" s="1"/>
      <c r="H305" s="2"/>
      <c r="J305" s="5"/>
      <c r="K305" s="5"/>
      <c r="M305" s="97"/>
      <c r="N305" s="97"/>
      <c r="O305" s="97"/>
      <c r="P305" s="97"/>
      <c r="Q305" s="97"/>
      <c r="S305" s="97"/>
      <c r="T305" s="5"/>
      <c r="U305" s="5"/>
      <c r="V305" s="5"/>
      <c r="W305" s="5"/>
      <c r="AH305" s="4"/>
    </row>
    <row r="306" spans="1:34" ht="12.75">
      <c r="A306" s="145"/>
      <c r="B306" s="1"/>
      <c r="H306" s="2"/>
      <c r="J306" s="5"/>
      <c r="K306" s="5"/>
      <c r="M306" s="97"/>
      <c r="N306" s="97"/>
      <c r="O306" s="97"/>
      <c r="P306" s="97"/>
      <c r="Q306" s="97"/>
      <c r="S306" s="97"/>
      <c r="T306" s="5"/>
      <c r="U306" s="5"/>
      <c r="V306" s="5"/>
      <c r="W306" s="5"/>
      <c r="AH306" s="4"/>
    </row>
    <row r="307" spans="1:34" ht="12.75">
      <c r="A307" s="145"/>
      <c r="B307" s="1"/>
      <c r="H307" s="2"/>
      <c r="J307" s="5"/>
      <c r="K307" s="5"/>
      <c r="M307" s="97"/>
      <c r="N307" s="97"/>
      <c r="O307" s="97"/>
      <c r="P307" s="97"/>
      <c r="Q307" s="97"/>
      <c r="S307" s="97"/>
      <c r="T307" s="5"/>
      <c r="U307" s="5"/>
      <c r="V307" s="5"/>
      <c r="W307" s="5"/>
      <c r="AH307" s="4"/>
    </row>
    <row r="308" spans="1:50" ht="15.75">
      <c r="A308" s="145"/>
      <c r="B308" s="1"/>
      <c r="H308" s="2"/>
      <c r="J308" s="5"/>
      <c r="K308" s="5"/>
      <c r="M308" s="97"/>
      <c r="N308" s="97"/>
      <c r="O308" s="97"/>
      <c r="P308" s="97"/>
      <c r="Q308" s="97"/>
      <c r="S308" s="97"/>
      <c r="T308" s="5"/>
      <c r="U308" s="5"/>
      <c r="V308" s="5"/>
      <c r="W308" s="5"/>
      <c r="AH308" s="4"/>
      <c r="AQ308" s="312" t="s">
        <v>620</v>
      </c>
      <c r="AR308" s="312"/>
      <c r="AS308" s="312"/>
      <c r="AT308" s="312"/>
      <c r="AU308" s="312"/>
      <c r="AV308" s="312"/>
      <c r="AW308" s="312"/>
      <c r="AX308" s="312"/>
    </row>
    <row r="309" spans="1:34" ht="12.75">
      <c r="A309" s="145"/>
      <c r="B309" s="1"/>
      <c r="H309" s="2"/>
      <c r="J309" s="5"/>
      <c r="K309" s="5"/>
      <c r="M309" s="97"/>
      <c r="N309" s="97"/>
      <c r="O309" s="97"/>
      <c r="P309" s="97"/>
      <c r="Q309" s="97"/>
      <c r="S309" s="97"/>
      <c r="T309" s="5"/>
      <c r="U309" s="5"/>
      <c r="V309" s="5"/>
      <c r="W309" s="5"/>
      <c r="AH309" s="4"/>
    </row>
    <row r="310" spans="1:34" ht="12.75">
      <c r="A310" s="145"/>
      <c r="B310" s="1"/>
      <c r="H310" s="2"/>
      <c r="J310" s="5"/>
      <c r="K310" s="5"/>
      <c r="M310" s="97"/>
      <c r="N310" s="97"/>
      <c r="O310" s="97"/>
      <c r="P310" s="97"/>
      <c r="Q310" s="97"/>
      <c r="S310" s="97"/>
      <c r="T310" s="5"/>
      <c r="U310" s="5"/>
      <c r="V310" s="5"/>
      <c r="W310" s="5"/>
      <c r="AH310" s="4"/>
    </row>
    <row r="311" spans="1:28" ht="12.75">
      <c r="A311" s="145"/>
      <c r="B311" s="242" t="s">
        <v>508</v>
      </c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3"/>
      <c r="Q311" s="243"/>
      <c r="R311" s="243"/>
      <c r="S311" s="243"/>
      <c r="T311" s="243"/>
      <c r="U311" s="243"/>
      <c r="V311" s="243"/>
      <c r="W311" s="243"/>
      <c r="X311" s="243"/>
      <c r="Y311" s="243"/>
      <c r="Z311" s="243"/>
      <c r="AA311" s="243"/>
      <c r="AB311" s="244"/>
    </row>
    <row r="312" spans="1:8" ht="12.75">
      <c r="A312" s="145"/>
      <c r="B312" s="1"/>
      <c r="H312" s="2"/>
    </row>
    <row r="313" spans="1:8" ht="12.75">
      <c r="A313" s="145"/>
      <c r="B313" s="3" t="s">
        <v>509</v>
      </c>
      <c r="H313" s="2"/>
    </row>
    <row r="314" spans="1:8" ht="12.75">
      <c r="A314" s="145"/>
      <c r="B314" s="1"/>
      <c r="H314" s="2"/>
    </row>
    <row r="315" spans="1:11" ht="12.75">
      <c r="A315" s="145"/>
      <c r="B315" s="3" t="s">
        <v>496</v>
      </c>
      <c r="C315" s="4"/>
      <c r="D315" s="4"/>
      <c r="E315" s="4"/>
      <c r="F315" s="4"/>
      <c r="K315" s="2" t="s">
        <v>524</v>
      </c>
    </row>
    <row r="316" spans="1:49" ht="14.25">
      <c r="A316" s="145"/>
      <c r="B316" s="304" t="s">
        <v>529</v>
      </c>
      <c r="C316" s="304"/>
      <c r="D316" s="304"/>
      <c r="E316" s="304"/>
      <c r="F316" s="10" t="s">
        <v>423</v>
      </c>
      <c r="G316" s="319" t="s">
        <v>442</v>
      </c>
      <c r="H316" s="319"/>
      <c r="I316" s="319"/>
      <c r="J316" s="319"/>
      <c r="K316" s="319"/>
      <c r="L316" s="319"/>
      <c r="M316" s="319"/>
      <c r="N316" s="319"/>
      <c r="O316" s="319"/>
      <c r="P316" s="319"/>
      <c r="Q316" s="319"/>
      <c r="R316" s="319"/>
      <c r="S316" s="319"/>
      <c r="T316" s="319"/>
      <c r="U316" s="319"/>
      <c r="V316" s="319"/>
      <c r="W316" s="319"/>
      <c r="X316" s="319"/>
      <c r="Y316" s="319"/>
      <c r="Z316" s="319"/>
      <c r="AA316" s="319"/>
      <c r="AB316" s="319"/>
      <c r="AC316" s="319"/>
      <c r="AD316" s="319"/>
      <c r="AE316" s="319"/>
      <c r="AF316" s="319"/>
      <c r="AG316" s="319"/>
      <c r="AH316" s="319"/>
      <c r="AI316" s="319"/>
      <c r="AJ316" s="319"/>
      <c r="AK316" s="319"/>
      <c r="AL316" s="319"/>
      <c r="AM316" s="319"/>
      <c r="AN316" s="319"/>
      <c r="AO316" s="319"/>
      <c r="AP316" s="319"/>
      <c r="AQ316" s="319"/>
      <c r="AR316" s="319"/>
      <c r="AS316" s="319"/>
      <c r="AT316" s="319"/>
      <c r="AU316" s="319"/>
      <c r="AV316" s="319"/>
      <c r="AW316" s="319"/>
    </row>
    <row r="317" spans="1:34" ht="15.75">
      <c r="A317" s="145"/>
      <c r="D317" s="9" t="s">
        <v>98</v>
      </c>
      <c r="E317" s="9"/>
      <c r="F317" s="205">
        <f>$AM$23+($AM$18/8)</f>
        <v>922.5</v>
      </c>
      <c r="G317" s="205"/>
      <c r="H317" s="205"/>
      <c r="I317" s="205"/>
      <c r="J317" s="205"/>
      <c r="K317" s="231" t="s">
        <v>426</v>
      </c>
      <c r="L317" s="231"/>
      <c r="Z317" s="6" t="s">
        <v>530</v>
      </c>
      <c r="AB317" s="2">
        <v>0</v>
      </c>
      <c r="AF317" s="215"/>
      <c r="AG317" s="215"/>
      <c r="AH317" s="215"/>
    </row>
    <row r="318" spans="1:8" ht="12.75">
      <c r="A318" s="145"/>
      <c r="B318" s="1"/>
      <c r="H318" s="2"/>
    </row>
    <row r="319" spans="1:8" ht="12.75">
      <c r="A319" s="145"/>
      <c r="B319" s="1"/>
      <c r="H319" s="2"/>
    </row>
    <row r="320" spans="1:8" ht="12.75">
      <c r="A320" s="145"/>
      <c r="B320" s="1"/>
      <c r="H320" s="2"/>
    </row>
    <row r="321" spans="1:8" ht="12.75">
      <c r="A321" s="145"/>
      <c r="B321" s="1"/>
      <c r="H321" s="2"/>
    </row>
    <row r="322" spans="1:8" ht="12.75">
      <c r="A322" s="145"/>
      <c r="B322" s="1"/>
      <c r="H322" s="2"/>
    </row>
    <row r="323" spans="1:8" ht="12.75">
      <c r="A323" s="145"/>
      <c r="B323" s="1"/>
      <c r="H323" s="2"/>
    </row>
    <row r="324" spans="1:8" ht="12.75">
      <c r="A324" s="145"/>
      <c r="B324" s="1"/>
      <c r="H324" s="2"/>
    </row>
    <row r="325" spans="1:41" ht="14.25">
      <c r="A325" s="145"/>
      <c r="B325" s="1"/>
      <c r="H325" s="2"/>
      <c r="AN325" s="210" t="s">
        <v>527</v>
      </c>
      <c r="AO325" s="210"/>
    </row>
    <row r="326" spans="1:40" ht="14.25">
      <c r="A326" s="145"/>
      <c r="B326" s="1"/>
      <c r="H326" s="2"/>
      <c r="AK326" s="2" t="s">
        <v>526</v>
      </c>
      <c r="AM326" s="2" t="s">
        <v>424</v>
      </c>
      <c r="AN326" s="74" t="s">
        <v>525</v>
      </c>
    </row>
    <row r="327" spans="1:41" ht="12.75">
      <c r="A327" s="145"/>
      <c r="B327" s="1"/>
      <c r="H327" s="2"/>
      <c r="AN327" s="210">
        <v>8</v>
      </c>
      <c r="AO327" s="210"/>
    </row>
    <row r="328" spans="1:8" ht="12.75">
      <c r="A328" s="145"/>
      <c r="B328" s="1"/>
      <c r="H328" s="2"/>
    </row>
    <row r="329" spans="1:8" ht="12.75">
      <c r="A329" s="145"/>
      <c r="B329" s="1"/>
      <c r="H329" s="2"/>
    </row>
    <row r="330" spans="1:8" ht="12.75">
      <c r="A330" s="145"/>
      <c r="B330" s="1"/>
      <c r="H330" s="2"/>
    </row>
    <row r="331" spans="1:8" ht="12.75">
      <c r="A331" s="145"/>
      <c r="B331" s="1"/>
      <c r="H331" s="2"/>
    </row>
    <row r="332" spans="1:8" ht="12.75">
      <c r="A332" s="145"/>
      <c r="B332" s="1"/>
      <c r="H332" s="2"/>
    </row>
    <row r="333" spans="1:8" ht="12.75">
      <c r="A333" s="145"/>
      <c r="B333" s="1"/>
      <c r="H333" s="2"/>
    </row>
    <row r="334" spans="1:8" ht="12.75">
      <c r="A334" s="145"/>
      <c r="B334" s="1"/>
      <c r="H334" s="2"/>
    </row>
    <row r="335" spans="1:8" ht="12.75">
      <c r="A335" s="145"/>
      <c r="B335" s="1"/>
      <c r="H335" s="2"/>
    </row>
    <row r="336" spans="1:8" ht="12.75">
      <c r="A336" s="145"/>
      <c r="B336" s="1"/>
      <c r="H336" s="2"/>
    </row>
    <row r="337" spans="1:8" ht="12.75">
      <c r="A337" s="145"/>
      <c r="B337" s="1"/>
      <c r="H337" s="2"/>
    </row>
    <row r="338" spans="1:8" ht="12.75">
      <c r="A338" s="145"/>
      <c r="B338" s="1"/>
      <c r="H338" s="2"/>
    </row>
    <row r="339" spans="1:8" ht="12.75">
      <c r="A339" s="145"/>
      <c r="B339" s="1"/>
      <c r="H339" s="2"/>
    </row>
    <row r="340" spans="1:8" ht="12.75">
      <c r="A340" s="145"/>
      <c r="B340" s="1"/>
      <c r="H340" s="2"/>
    </row>
    <row r="341" spans="1:8" ht="12.75">
      <c r="A341" s="145"/>
      <c r="B341" s="1"/>
      <c r="H341" s="2"/>
    </row>
    <row r="342" spans="1:8" ht="12.75">
      <c r="A342" s="145"/>
      <c r="B342" s="1"/>
      <c r="H342" s="2"/>
    </row>
    <row r="343" spans="1:8" ht="12.75">
      <c r="A343" s="145"/>
      <c r="B343" s="1"/>
      <c r="H343" s="2"/>
    </row>
    <row r="344" spans="1:8" ht="12.75">
      <c r="A344" s="145"/>
      <c r="B344" s="1"/>
      <c r="H344" s="2"/>
    </row>
    <row r="345" spans="1:8" ht="12.75">
      <c r="A345" s="145"/>
      <c r="B345" s="1"/>
      <c r="H345" s="2"/>
    </row>
    <row r="346" spans="1:8" ht="12.75">
      <c r="A346" s="145"/>
      <c r="B346" s="1"/>
      <c r="H346" s="2"/>
    </row>
    <row r="347" spans="1:28" ht="12.75">
      <c r="A347" s="145"/>
      <c r="C347" s="4" t="s">
        <v>60</v>
      </c>
      <c r="H347" s="2"/>
      <c r="Z347" s="215">
        <v>1.2</v>
      </c>
      <c r="AA347" s="215"/>
      <c r="AB347" s="2" t="s">
        <v>61</v>
      </c>
    </row>
    <row r="348" spans="1:8" ht="12.75">
      <c r="A348" s="145"/>
      <c r="C348" s="9"/>
      <c r="H348" s="2"/>
    </row>
    <row r="349" spans="1:8" ht="12.75">
      <c r="A349" s="145"/>
      <c r="B349" s="1"/>
      <c r="H349" s="2"/>
    </row>
    <row r="350" spans="1:8" ht="12.75">
      <c r="A350" s="145"/>
      <c r="H350" s="2"/>
    </row>
    <row r="351" spans="1:8" ht="12.75">
      <c r="A351" s="145"/>
      <c r="H351" s="2"/>
    </row>
    <row r="352" spans="1:46" ht="12" customHeight="1">
      <c r="A352" s="145"/>
      <c r="B352" s="1"/>
      <c r="E352" s="2" t="s">
        <v>424</v>
      </c>
      <c r="F352" s="215">
        <f>Z347</f>
        <v>1.2</v>
      </c>
      <c r="G352" s="210"/>
      <c r="H352" s="2" t="s">
        <v>100</v>
      </c>
      <c r="I352" s="210">
        <v>9.81</v>
      </c>
      <c r="J352" s="210"/>
      <c r="K352" s="210"/>
      <c r="L352" s="2" t="s">
        <v>64</v>
      </c>
      <c r="M352" s="210">
        <f>AM14</f>
        <v>400</v>
      </c>
      <c r="N352" s="210"/>
      <c r="O352" s="210"/>
      <c r="P352" s="2" t="s">
        <v>65</v>
      </c>
      <c r="Q352" s="215">
        <f>F317</f>
        <v>922.5</v>
      </c>
      <c r="R352" s="215"/>
      <c r="S352" s="215"/>
      <c r="T352" s="2" t="s">
        <v>89</v>
      </c>
      <c r="U352" s="4">
        <f>AM25</f>
        <v>0</v>
      </c>
      <c r="V352" s="4" t="s">
        <v>93</v>
      </c>
      <c r="W352" s="4" t="s">
        <v>88</v>
      </c>
      <c r="X352" s="210">
        <f>AM13</f>
        <v>600</v>
      </c>
      <c r="Y352" s="210"/>
      <c r="Z352" s="210"/>
      <c r="AA352" s="2" t="s">
        <v>65</v>
      </c>
      <c r="AB352" s="210">
        <f>AM27</f>
        <v>785</v>
      </c>
      <c r="AC352" s="210"/>
      <c r="AD352" s="210"/>
      <c r="AE352" s="4" t="s">
        <v>89</v>
      </c>
      <c r="AF352" s="4">
        <f>AM25</f>
        <v>0</v>
      </c>
      <c r="AG352" s="2" t="s">
        <v>63</v>
      </c>
      <c r="AH352" s="2" t="s">
        <v>91</v>
      </c>
      <c r="AI352" s="2">
        <f>AM30</f>
        <v>3.5</v>
      </c>
      <c r="AJ352" s="2" t="s">
        <v>100</v>
      </c>
      <c r="AK352" s="210">
        <f>AM16</f>
        <v>2800</v>
      </c>
      <c r="AL352" s="210"/>
      <c r="AM352" s="210"/>
      <c r="AN352" s="2" t="s">
        <v>424</v>
      </c>
      <c r="AO352" s="205">
        <f>(F352*I352*(M352*(Q352-U352)+X352*(AB352-AF352)))/(AI352*AK352)</f>
        <v>1009.0285714285715</v>
      </c>
      <c r="AP352" s="205"/>
      <c r="AQ352" s="205"/>
      <c r="AR352" s="205"/>
      <c r="AS352" s="205"/>
      <c r="AT352" s="102" t="s">
        <v>113</v>
      </c>
    </row>
    <row r="353" spans="1:24" ht="15.75">
      <c r="A353" s="145"/>
      <c r="B353" s="1"/>
      <c r="H353" s="2"/>
      <c r="X353" s="32"/>
    </row>
    <row r="354" spans="1:23" ht="12.75">
      <c r="A354" s="145"/>
      <c r="H354" s="2"/>
      <c r="O354" s="2">
        <v>3</v>
      </c>
      <c r="P354" s="2" t="s">
        <v>100</v>
      </c>
      <c r="Q354" s="218">
        <f>AO352</f>
        <v>1009.0285714285715</v>
      </c>
      <c r="R354" s="218"/>
      <c r="S354" s="218"/>
      <c r="T354" s="2" t="s">
        <v>100</v>
      </c>
      <c r="U354" s="210">
        <f>AM15</f>
        <v>1250</v>
      </c>
      <c r="V354" s="210"/>
      <c r="W354" s="210"/>
    </row>
    <row r="355" spans="1:32" ht="15.75">
      <c r="A355" s="145"/>
      <c r="B355" s="1"/>
      <c r="H355" s="2"/>
      <c r="O355" s="223" t="s">
        <v>62</v>
      </c>
      <c r="P355" s="210"/>
      <c r="Q355" s="210"/>
      <c r="R355" s="210"/>
      <c r="S355" s="210"/>
      <c r="T355" s="210"/>
      <c r="U355" s="210"/>
      <c r="V355" s="210"/>
      <c r="W355" s="210"/>
      <c r="Y355" s="2" t="s">
        <v>424</v>
      </c>
      <c r="Z355" s="205">
        <f>O354*Q354*U354/R356</f>
        <v>236491.07142857145</v>
      </c>
      <c r="AA355" s="205"/>
      <c r="AB355" s="205"/>
      <c r="AC355" s="205"/>
      <c r="AD355" s="205"/>
      <c r="AE355" s="205"/>
      <c r="AF355" s="2" t="s">
        <v>115</v>
      </c>
    </row>
    <row r="356" spans="1:19" ht="12.75">
      <c r="A356" s="145"/>
      <c r="B356" s="1"/>
      <c r="H356" s="2"/>
      <c r="R356" s="210">
        <v>16</v>
      </c>
      <c r="S356" s="210"/>
    </row>
    <row r="357" spans="1:8" ht="12.75">
      <c r="A357" s="145"/>
      <c r="B357" s="1"/>
      <c r="H357" s="2"/>
    </row>
    <row r="358" spans="1:32" ht="16.5">
      <c r="A358" s="145"/>
      <c r="C358" s="104" t="s">
        <v>510</v>
      </c>
      <c r="D358" s="53"/>
      <c r="E358" s="53"/>
      <c r="F358" s="53"/>
      <c r="G358" s="53"/>
      <c r="H358" s="53"/>
      <c r="I358" s="48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212">
        <f>LOOKUP($AM$31,Sayfa2!$S$6:$S$13,Sayfa2!$AB$6:$AB$13)*1000</f>
        <v>11800</v>
      </c>
      <c r="AA358" s="212"/>
      <c r="AB358" s="212"/>
      <c r="AC358" s="212"/>
      <c r="AD358" s="53" t="s">
        <v>130</v>
      </c>
      <c r="AE358" s="53"/>
      <c r="AF358" s="54"/>
    </row>
    <row r="359" spans="1:8" ht="12.75">
      <c r="A359" s="145"/>
      <c r="B359" s="1"/>
      <c r="H359" s="2"/>
    </row>
    <row r="360" spans="1:25" ht="16.5">
      <c r="A360" s="145"/>
      <c r="H360" s="2"/>
      <c r="I360" s="4" t="s">
        <v>424</v>
      </c>
      <c r="J360" s="218">
        <f>Z355</f>
        <v>236491.07142857145</v>
      </c>
      <c r="K360" s="218"/>
      <c r="L360" s="218"/>
      <c r="M360" s="218"/>
      <c r="N360" s="218"/>
      <c r="O360" s="4" t="s">
        <v>91</v>
      </c>
      <c r="P360" s="217">
        <f>Z358</f>
        <v>11800</v>
      </c>
      <c r="Q360" s="210"/>
      <c r="R360" s="210"/>
      <c r="S360" s="210"/>
      <c r="U360" s="2" t="s">
        <v>424</v>
      </c>
      <c r="V360" s="209">
        <f>J360/P360</f>
        <v>20.041616222760293</v>
      </c>
      <c r="W360" s="209"/>
      <c r="X360" s="209"/>
      <c r="Y360" s="35" t="s">
        <v>132</v>
      </c>
    </row>
    <row r="361" spans="1:25" ht="12.75">
      <c r="A361" s="145"/>
      <c r="H361" s="2"/>
      <c r="I361" s="4"/>
      <c r="J361" s="96"/>
      <c r="K361" s="5"/>
      <c r="L361" s="5"/>
      <c r="M361" s="5"/>
      <c r="N361" s="5"/>
      <c r="O361" s="4"/>
      <c r="P361" s="97"/>
      <c r="Q361" s="5"/>
      <c r="R361" s="5"/>
      <c r="S361" s="5"/>
      <c r="V361" s="5"/>
      <c r="W361" s="5"/>
      <c r="X361" s="5"/>
      <c r="Y361" s="4"/>
    </row>
    <row r="362" spans="1:8" ht="12.75">
      <c r="A362" s="145"/>
      <c r="B362" s="1"/>
      <c r="H362" s="2"/>
    </row>
    <row r="363" spans="1:8" ht="12.75">
      <c r="A363" s="145"/>
      <c r="H363" s="2"/>
    </row>
    <row r="364" spans="1:8" ht="12.75">
      <c r="A364" s="145"/>
      <c r="B364" s="1"/>
      <c r="H364" s="2"/>
    </row>
    <row r="365" spans="1:8" ht="12.75">
      <c r="A365" s="145"/>
      <c r="H365" s="2"/>
    </row>
    <row r="366" spans="1:8" ht="12.75">
      <c r="A366" s="145"/>
      <c r="B366" s="1"/>
      <c r="H366" s="2"/>
    </row>
    <row r="367" spans="1:45" ht="12.75">
      <c r="A367" s="145"/>
      <c r="B367" s="1"/>
      <c r="D367" s="2" t="s">
        <v>424</v>
      </c>
      <c r="E367" s="215">
        <f>Z347</f>
        <v>1.2</v>
      </c>
      <c r="F367" s="210"/>
      <c r="G367" s="2" t="s">
        <v>100</v>
      </c>
      <c r="H367" s="210">
        <v>9.81</v>
      </c>
      <c r="I367" s="210"/>
      <c r="J367" s="210"/>
      <c r="K367" s="2" t="s">
        <v>64</v>
      </c>
      <c r="L367" s="210">
        <f>AM14</f>
        <v>400</v>
      </c>
      <c r="M367" s="210"/>
      <c r="N367" s="210"/>
      <c r="O367" s="2" t="s">
        <v>65</v>
      </c>
      <c r="P367" s="231">
        <f>AB317</f>
        <v>0</v>
      </c>
      <c r="Q367" s="231"/>
      <c r="R367" s="231"/>
      <c r="S367" s="2" t="s">
        <v>89</v>
      </c>
      <c r="T367" s="4">
        <f>AM26</f>
        <v>0</v>
      </c>
      <c r="U367" s="4" t="s">
        <v>93</v>
      </c>
      <c r="V367" s="4" t="s">
        <v>88</v>
      </c>
      <c r="W367" s="210">
        <f>AM13</f>
        <v>600</v>
      </c>
      <c r="X367" s="210"/>
      <c r="Y367" s="210"/>
      <c r="Z367" s="2" t="s">
        <v>65</v>
      </c>
      <c r="AA367" s="4">
        <f>AM28</f>
        <v>0</v>
      </c>
      <c r="AB367" s="4" t="s">
        <v>89</v>
      </c>
      <c r="AC367" s="4">
        <f>AM26</f>
        <v>0</v>
      </c>
      <c r="AD367" s="2" t="s">
        <v>63</v>
      </c>
      <c r="AE367" s="2" t="s">
        <v>91</v>
      </c>
      <c r="AF367" s="2" t="s">
        <v>92</v>
      </c>
      <c r="AG367" s="2">
        <f>AM30</f>
        <v>3.5</v>
      </c>
      <c r="AH367" s="4" t="s">
        <v>91</v>
      </c>
      <c r="AI367" s="4">
        <v>2</v>
      </c>
      <c r="AJ367" s="4" t="s">
        <v>93</v>
      </c>
      <c r="AK367" s="2" t="s">
        <v>100</v>
      </c>
      <c r="AL367" s="217">
        <f>AM16</f>
        <v>2800</v>
      </c>
      <c r="AM367" s="217"/>
      <c r="AN367" s="217"/>
      <c r="AO367" s="217"/>
      <c r="AP367" s="4" t="s">
        <v>424</v>
      </c>
      <c r="AQ367" s="210">
        <f>(E367*H367*(L367*(P367-T367)+W367*(AA367-AC367))/(AG367/AI367)*AL367)</f>
        <v>0</v>
      </c>
      <c r="AR367" s="210"/>
      <c r="AS367" s="2" t="s">
        <v>113</v>
      </c>
    </row>
    <row r="368" spans="1:44" ht="12.75">
      <c r="A368" s="145"/>
      <c r="B368" s="1"/>
      <c r="E368" s="98"/>
      <c r="F368" s="5"/>
      <c r="J368" s="5"/>
      <c r="L368" s="5"/>
      <c r="M368" s="5"/>
      <c r="N368" s="5"/>
      <c r="P368" s="96"/>
      <c r="Q368" s="96"/>
      <c r="R368" s="96"/>
      <c r="T368" s="4"/>
      <c r="U368" s="4"/>
      <c r="V368" s="4"/>
      <c r="W368" s="5"/>
      <c r="X368" s="5"/>
      <c r="Y368" s="5"/>
      <c r="AA368" s="4"/>
      <c r="AB368" s="4"/>
      <c r="AC368" s="4"/>
      <c r="AH368" s="4"/>
      <c r="AI368" s="4"/>
      <c r="AJ368" s="4"/>
      <c r="AL368" s="97"/>
      <c r="AM368" s="97"/>
      <c r="AN368" s="97"/>
      <c r="AO368" s="97"/>
      <c r="AP368" s="4"/>
      <c r="AQ368" s="5"/>
      <c r="AR368" s="5"/>
    </row>
    <row r="369" spans="1:8" ht="12.75">
      <c r="A369" s="145"/>
      <c r="B369" s="1"/>
      <c r="H369" s="2"/>
    </row>
    <row r="370" spans="1:27" ht="15.75">
      <c r="A370" s="145"/>
      <c r="H370" s="2"/>
      <c r="K370" s="2" t="s">
        <v>424</v>
      </c>
      <c r="M370" s="2">
        <v>3</v>
      </c>
      <c r="N370" s="2" t="s">
        <v>100</v>
      </c>
      <c r="O370" s="2">
        <f>AQ367</f>
        <v>0</v>
      </c>
      <c r="P370" s="2" t="s">
        <v>100</v>
      </c>
      <c r="Q370" s="210">
        <f>AM15</f>
        <v>1250</v>
      </c>
      <c r="R370" s="210"/>
      <c r="S370" s="210"/>
      <c r="T370" s="2" t="s">
        <v>91</v>
      </c>
      <c r="U370" s="210">
        <v>16</v>
      </c>
      <c r="V370" s="210"/>
      <c r="X370" s="2" t="s">
        <v>424</v>
      </c>
      <c r="Y370" s="209">
        <f>M370*O370*Q370/U370</f>
        <v>0</v>
      </c>
      <c r="Z370" s="209"/>
      <c r="AA370" s="2" t="s">
        <v>115</v>
      </c>
    </row>
    <row r="371" spans="1:8" ht="12.75">
      <c r="A371" s="145"/>
      <c r="B371" s="1"/>
      <c r="H371" s="2"/>
    </row>
    <row r="372" spans="1:50" ht="16.5">
      <c r="A372" s="145"/>
      <c r="C372" s="4" t="s">
        <v>66</v>
      </c>
      <c r="H372" s="2"/>
      <c r="M372" s="2" t="s">
        <v>67</v>
      </c>
      <c r="P372" s="212">
        <f>LOOKUP($AM$31,Sayfa2!$S$6:$S$13,Sayfa2!$AA$6:$AA$13)*1000</f>
        <v>14500</v>
      </c>
      <c r="Q372" s="212"/>
      <c r="R372" s="212"/>
      <c r="S372" s="212"/>
      <c r="T372" s="2" t="s">
        <v>130</v>
      </c>
      <c r="AQ372" s="312" t="s">
        <v>621</v>
      </c>
      <c r="AR372" s="312"/>
      <c r="AS372" s="312"/>
      <c r="AT372" s="312"/>
      <c r="AU372" s="312"/>
      <c r="AV372" s="312"/>
      <c r="AW372" s="312"/>
      <c r="AX372" s="312"/>
    </row>
    <row r="373" spans="1:19" ht="12.75">
      <c r="A373" s="145"/>
      <c r="C373" s="4"/>
      <c r="H373" s="2"/>
      <c r="P373" s="141"/>
      <c r="Q373" s="141"/>
      <c r="R373" s="141"/>
      <c r="S373" s="141"/>
    </row>
    <row r="374" spans="1:8" ht="12.75">
      <c r="A374" s="145"/>
      <c r="H374" s="2"/>
    </row>
    <row r="375" spans="1:29" ht="16.5">
      <c r="A375" s="145"/>
      <c r="H375" s="5" t="s">
        <v>424</v>
      </c>
      <c r="I375" s="5">
        <f>Y370</f>
        <v>0</v>
      </c>
      <c r="J375" s="2" t="s">
        <v>91</v>
      </c>
      <c r="K375" s="218">
        <f>P372</f>
        <v>14500</v>
      </c>
      <c r="L375" s="218"/>
      <c r="M375" s="218"/>
      <c r="N375" s="218"/>
      <c r="O375" s="2" t="s">
        <v>424</v>
      </c>
      <c r="P375" s="197">
        <f>I375/K375</f>
        <v>0</v>
      </c>
      <c r="Q375" s="35" t="s">
        <v>132</v>
      </c>
      <c r="AC375" s="4"/>
    </row>
    <row r="376" spans="1:25" ht="12.75">
      <c r="A376" s="145"/>
      <c r="Y376" s="5"/>
    </row>
    <row r="377" ht="12.75">
      <c r="A377" s="145"/>
    </row>
    <row r="378" spans="1:15" ht="12.75">
      <c r="A378" s="145"/>
      <c r="B378" s="321" t="s">
        <v>515</v>
      </c>
      <c r="C378" s="321"/>
      <c r="D378" s="321"/>
      <c r="E378" s="321"/>
      <c r="F378" s="321"/>
      <c r="G378" s="321"/>
      <c r="H378" s="321"/>
      <c r="I378" s="321"/>
      <c r="J378" s="321"/>
      <c r="K378" s="321"/>
      <c r="L378" s="321"/>
      <c r="M378" s="321"/>
      <c r="N378" s="321"/>
      <c r="O378" s="2" t="s">
        <v>533</v>
      </c>
    </row>
    <row r="379" spans="1:14" ht="12.75">
      <c r="A379" s="145"/>
      <c r="B379" s="139"/>
      <c r="C379" s="139"/>
      <c r="D379" s="139"/>
      <c r="E379" s="139"/>
      <c r="F379" s="139"/>
      <c r="G379" s="139"/>
      <c r="H379" s="139"/>
      <c r="I379" s="139"/>
      <c r="J379" s="139"/>
      <c r="K379" s="139"/>
      <c r="L379" s="139"/>
      <c r="M379" s="139"/>
      <c r="N379" s="139"/>
    </row>
    <row r="380" spans="1:28" ht="15.75">
      <c r="A380" s="145"/>
      <c r="B380" s="139"/>
      <c r="C380" s="139"/>
      <c r="D380" s="139"/>
      <c r="E380" s="139"/>
      <c r="F380" s="139"/>
      <c r="G380" s="139"/>
      <c r="H380" s="2"/>
      <c r="I380" s="2"/>
      <c r="K380" s="4" t="s">
        <v>534</v>
      </c>
      <c r="L380" s="4"/>
      <c r="M380" s="4"/>
      <c r="N380" s="4"/>
      <c r="O380" s="2" t="s">
        <v>424</v>
      </c>
      <c r="P380" s="228">
        <f>$AM$23</f>
        <v>785</v>
      </c>
      <c r="Q380" s="228"/>
      <c r="R380" s="228"/>
      <c r="S380" s="228"/>
      <c r="X380" s="2" t="s">
        <v>35</v>
      </c>
      <c r="Z380" s="228">
        <f>$AM$24+($AM$19/8)</f>
        <v>162.5</v>
      </c>
      <c r="AA380" s="228"/>
      <c r="AB380" s="228"/>
    </row>
    <row r="381" ht="12.75">
      <c r="A381" s="145"/>
    </row>
    <row r="382" spans="1:38" ht="14.25">
      <c r="A382" s="145"/>
      <c r="AL382" s="2" t="s">
        <v>534</v>
      </c>
    </row>
    <row r="383" ht="12.75">
      <c r="A383" s="145"/>
    </row>
    <row r="384" ht="12.75">
      <c r="A384" s="145"/>
    </row>
    <row r="385" spans="1:38" ht="14.25">
      <c r="A385" s="145"/>
      <c r="AL385" s="2" t="s">
        <v>535</v>
      </c>
    </row>
    <row r="386" ht="12.75">
      <c r="A386" s="145"/>
    </row>
    <row r="387" ht="12.75">
      <c r="A387" s="145"/>
    </row>
    <row r="388" ht="12.75">
      <c r="A388" s="145"/>
    </row>
    <row r="389" ht="12.75">
      <c r="A389" s="145"/>
    </row>
    <row r="390" ht="12.75">
      <c r="A390" s="145"/>
    </row>
    <row r="391" ht="12.75">
      <c r="A391" s="145"/>
    </row>
    <row r="392" ht="12.75">
      <c r="A392" s="145"/>
    </row>
    <row r="393" ht="12.75">
      <c r="A393" s="145"/>
    </row>
    <row r="394" ht="12.75">
      <c r="A394" s="145"/>
    </row>
    <row r="395" ht="12.75">
      <c r="A395" s="145"/>
    </row>
    <row r="396" ht="12.75">
      <c r="A396" s="145"/>
    </row>
    <row r="397" ht="12.75">
      <c r="A397" s="145"/>
    </row>
    <row r="398" ht="12.75">
      <c r="A398" s="145"/>
    </row>
    <row r="399" ht="12.75">
      <c r="A399" s="145"/>
    </row>
    <row r="400" ht="12.75">
      <c r="A400" s="145"/>
    </row>
    <row r="401" spans="1:28" ht="12.75">
      <c r="A401" s="145"/>
      <c r="C401" s="4" t="s">
        <v>60</v>
      </c>
      <c r="H401" s="2"/>
      <c r="Z401" s="215">
        <v>1.2</v>
      </c>
      <c r="AA401" s="215"/>
      <c r="AB401" s="2" t="s">
        <v>61</v>
      </c>
    </row>
    <row r="402" spans="1:8" ht="12.75">
      <c r="A402" s="145"/>
      <c r="C402" s="9"/>
      <c r="H402" s="2"/>
    </row>
    <row r="403" spans="1:8" ht="12.75">
      <c r="A403" s="145"/>
      <c r="B403" s="1"/>
      <c r="H403" s="2"/>
    </row>
    <row r="404" spans="1:8" ht="12.75">
      <c r="A404" s="145"/>
      <c r="H404" s="2"/>
    </row>
    <row r="405" spans="1:8" ht="12.75">
      <c r="A405" s="145"/>
      <c r="H405" s="2"/>
    </row>
    <row r="406" spans="1:46" ht="15.75">
      <c r="A406" s="145"/>
      <c r="B406" s="1"/>
      <c r="E406" s="2" t="s">
        <v>424</v>
      </c>
      <c r="F406" s="215">
        <f>Z401</f>
        <v>1.2</v>
      </c>
      <c r="G406" s="210"/>
      <c r="H406" s="2" t="s">
        <v>100</v>
      </c>
      <c r="I406" s="210">
        <v>9.81</v>
      </c>
      <c r="J406" s="210"/>
      <c r="K406" s="210"/>
      <c r="L406" s="2" t="s">
        <v>64</v>
      </c>
      <c r="M406" s="210">
        <f>$AM$14</f>
        <v>400</v>
      </c>
      <c r="N406" s="210"/>
      <c r="O406" s="210"/>
      <c r="P406" s="2" t="s">
        <v>65</v>
      </c>
      <c r="Q406" s="218">
        <f>P380</f>
        <v>785</v>
      </c>
      <c r="R406" s="218"/>
      <c r="S406" s="218"/>
      <c r="T406" s="2" t="s">
        <v>89</v>
      </c>
      <c r="U406" s="4">
        <f>$AM$25</f>
        <v>0</v>
      </c>
      <c r="V406" s="4" t="s">
        <v>93</v>
      </c>
      <c r="W406" s="4" t="s">
        <v>88</v>
      </c>
      <c r="X406" s="210">
        <f>$AM$13</f>
        <v>600</v>
      </c>
      <c r="Y406" s="210"/>
      <c r="Z406" s="210"/>
      <c r="AA406" s="2" t="s">
        <v>65</v>
      </c>
      <c r="AB406" s="210">
        <f>$AM$27</f>
        <v>785</v>
      </c>
      <c r="AC406" s="210"/>
      <c r="AD406" s="210"/>
      <c r="AE406" s="4" t="s">
        <v>89</v>
      </c>
      <c r="AF406" s="4">
        <f>$AM$25</f>
        <v>0</v>
      </c>
      <c r="AG406" s="2" t="s">
        <v>63</v>
      </c>
      <c r="AH406" s="2" t="s">
        <v>91</v>
      </c>
      <c r="AI406" s="2">
        <f>$AM$30</f>
        <v>3.5</v>
      </c>
      <c r="AJ406" s="2" t="s">
        <v>100</v>
      </c>
      <c r="AK406" s="210">
        <f>$AM$16</f>
        <v>2800</v>
      </c>
      <c r="AL406" s="210"/>
      <c r="AM406" s="210"/>
      <c r="AN406" s="2" t="s">
        <v>424</v>
      </c>
      <c r="AO406" s="205">
        <f>(F406*I406*(M406*(Q406-U406)+X406*(AB406-AF406)))/(AI406*AK406)</f>
        <v>942.9612244897959</v>
      </c>
      <c r="AP406" s="205"/>
      <c r="AQ406" s="205"/>
      <c r="AR406" s="205"/>
      <c r="AS406" s="205"/>
      <c r="AT406" s="102" t="s">
        <v>113</v>
      </c>
    </row>
    <row r="407" spans="1:24" ht="15.75">
      <c r="A407" s="145"/>
      <c r="B407" s="1"/>
      <c r="H407" s="2"/>
      <c r="X407" s="32"/>
    </row>
    <row r="408" spans="1:23" ht="12.75">
      <c r="A408" s="145"/>
      <c r="H408" s="2"/>
      <c r="O408" s="2">
        <v>3</v>
      </c>
      <c r="P408" s="2" t="s">
        <v>100</v>
      </c>
      <c r="Q408" s="218">
        <f>AO406</f>
        <v>942.9612244897959</v>
      </c>
      <c r="R408" s="218"/>
      <c r="S408" s="218"/>
      <c r="T408" s="2" t="s">
        <v>100</v>
      </c>
      <c r="U408" s="210">
        <f>$AM$15</f>
        <v>1250</v>
      </c>
      <c r="V408" s="210"/>
      <c r="W408" s="210"/>
    </row>
    <row r="409" spans="1:32" ht="15.75">
      <c r="A409" s="145"/>
      <c r="B409" s="1"/>
      <c r="H409" s="2"/>
      <c r="O409" s="223" t="s">
        <v>62</v>
      </c>
      <c r="P409" s="210"/>
      <c r="Q409" s="210"/>
      <c r="R409" s="210"/>
      <c r="S409" s="210"/>
      <c r="T409" s="210"/>
      <c r="U409" s="210"/>
      <c r="V409" s="210"/>
      <c r="W409" s="210"/>
      <c r="Y409" s="2" t="s">
        <v>424</v>
      </c>
      <c r="Z409" s="205">
        <f>O408*Q408*U408/R410</f>
        <v>221006.53698979592</v>
      </c>
      <c r="AA409" s="205"/>
      <c r="AB409" s="205"/>
      <c r="AC409" s="205"/>
      <c r="AD409" s="205"/>
      <c r="AE409" s="205"/>
      <c r="AF409" s="2" t="s">
        <v>115</v>
      </c>
    </row>
    <row r="410" spans="1:19" ht="12.75">
      <c r="A410" s="145"/>
      <c r="B410" s="1"/>
      <c r="H410" s="2"/>
      <c r="R410" s="210">
        <v>16</v>
      </c>
      <c r="S410" s="210"/>
    </row>
    <row r="411" spans="1:8" ht="12.75">
      <c r="A411" s="145"/>
      <c r="B411" s="1"/>
      <c r="H411" s="2"/>
    </row>
    <row r="412" spans="1:32" ht="16.5">
      <c r="A412" s="145"/>
      <c r="C412" s="104" t="s">
        <v>510</v>
      </c>
      <c r="D412" s="53"/>
      <c r="E412" s="53"/>
      <c r="F412" s="53"/>
      <c r="G412" s="53"/>
      <c r="H412" s="53"/>
      <c r="I412" s="48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212">
        <f>LOOKUP($AM$31,Sayfa2!$S$6:$S$13,Sayfa2!$AB$6:$AB$13)*1000</f>
        <v>11800</v>
      </c>
      <c r="AA412" s="212"/>
      <c r="AB412" s="212"/>
      <c r="AC412" s="212"/>
      <c r="AD412" s="53" t="s">
        <v>130</v>
      </c>
      <c r="AE412" s="53"/>
      <c r="AF412" s="54"/>
    </row>
    <row r="413" spans="1:8" ht="12.75">
      <c r="A413" s="145"/>
      <c r="B413" s="1"/>
      <c r="H413" s="2"/>
    </row>
    <row r="414" spans="1:25" ht="16.5">
      <c r="A414" s="145"/>
      <c r="H414" s="2"/>
      <c r="I414" s="4" t="s">
        <v>424</v>
      </c>
      <c r="J414" s="218">
        <f>Z409</f>
        <v>221006.53698979592</v>
      </c>
      <c r="K414" s="218"/>
      <c r="L414" s="218"/>
      <c r="M414" s="218"/>
      <c r="N414" s="218"/>
      <c r="O414" s="4" t="s">
        <v>91</v>
      </c>
      <c r="P414" s="217">
        <f>Z412</f>
        <v>11800</v>
      </c>
      <c r="Q414" s="210"/>
      <c r="R414" s="210"/>
      <c r="S414" s="210"/>
      <c r="U414" s="2" t="s">
        <v>424</v>
      </c>
      <c r="V414" s="209">
        <f>J414/P414</f>
        <v>18.72936754150813</v>
      </c>
      <c r="W414" s="209"/>
      <c r="X414" s="209"/>
      <c r="Y414" s="35" t="s">
        <v>132</v>
      </c>
    </row>
    <row r="415" spans="1:25" ht="12.75">
      <c r="A415" s="145"/>
      <c r="H415" s="2"/>
      <c r="I415" s="4"/>
      <c r="J415" s="96"/>
      <c r="K415" s="5"/>
      <c r="L415" s="5"/>
      <c r="M415" s="5"/>
      <c r="N415" s="5"/>
      <c r="O415" s="4"/>
      <c r="P415" s="97"/>
      <c r="Q415" s="5"/>
      <c r="R415" s="5"/>
      <c r="S415" s="5"/>
      <c r="V415" s="5"/>
      <c r="W415" s="5"/>
      <c r="X415" s="5"/>
      <c r="Y415" s="4"/>
    </row>
    <row r="416" spans="1:8" ht="12.75">
      <c r="A416" s="145"/>
      <c r="B416" s="1"/>
      <c r="H416" s="2"/>
    </row>
    <row r="417" spans="1:8" ht="12.75">
      <c r="A417" s="145"/>
      <c r="H417" s="2"/>
    </row>
    <row r="418" spans="1:8" ht="12.75">
      <c r="A418" s="145"/>
      <c r="B418" s="1"/>
      <c r="H418" s="2"/>
    </row>
    <row r="419" spans="1:8" ht="12.75">
      <c r="A419" s="145"/>
      <c r="H419" s="2"/>
    </row>
    <row r="420" spans="1:8" ht="12.75">
      <c r="A420" s="145"/>
      <c r="B420" s="1"/>
      <c r="H420" s="2"/>
    </row>
    <row r="421" spans="1:50" ht="15.75">
      <c r="A421" s="145"/>
      <c r="B421" s="1"/>
      <c r="D421" s="2" t="s">
        <v>424</v>
      </c>
      <c r="E421" s="215">
        <f>Z401</f>
        <v>1.2</v>
      </c>
      <c r="F421" s="210"/>
      <c r="G421" s="2" t="s">
        <v>100</v>
      </c>
      <c r="H421" s="210">
        <v>9.81</v>
      </c>
      <c r="I421" s="210"/>
      <c r="J421" s="210"/>
      <c r="K421" s="2" t="s">
        <v>64</v>
      </c>
      <c r="L421" s="210">
        <f>$AM$14</f>
        <v>400</v>
      </c>
      <c r="M421" s="210"/>
      <c r="N421" s="210"/>
      <c r="O421" s="2" t="s">
        <v>65</v>
      </c>
      <c r="P421" s="231">
        <f>$Z$380</f>
        <v>162.5</v>
      </c>
      <c r="Q421" s="231"/>
      <c r="R421" s="231"/>
      <c r="S421" s="2" t="s">
        <v>89</v>
      </c>
      <c r="T421" s="4">
        <f>AM78</f>
        <v>0</v>
      </c>
      <c r="U421" s="4" t="s">
        <v>93</v>
      </c>
      <c r="V421" s="4" t="s">
        <v>88</v>
      </c>
      <c r="W421" s="210">
        <f>$AM$13</f>
        <v>600</v>
      </c>
      <c r="X421" s="210"/>
      <c r="Y421" s="210"/>
      <c r="Z421" s="2" t="s">
        <v>65</v>
      </c>
      <c r="AA421" s="210">
        <f>$AM$28</f>
        <v>0</v>
      </c>
      <c r="AB421" s="210"/>
      <c r="AC421" s="210"/>
      <c r="AD421" s="4" t="s">
        <v>89</v>
      </c>
      <c r="AE421" s="4">
        <f>$AM$26</f>
        <v>0</v>
      </c>
      <c r="AF421" s="2" t="s">
        <v>63</v>
      </c>
      <c r="AG421" s="2" t="s">
        <v>91</v>
      </c>
      <c r="AH421" s="2" t="s">
        <v>92</v>
      </c>
      <c r="AI421" s="2">
        <f>$AM$30</f>
        <v>3.5</v>
      </c>
      <c r="AJ421" s="4" t="s">
        <v>91</v>
      </c>
      <c r="AK421" s="4">
        <v>2</v>
      </c>
      <c r="AL421" s="4" t="s">
        <v>93</v>
      </c>
      <c r="AM421" s="2" t="s">
        <v>100</v>
      </c>
      <c r="AN421" s="217">
        <f>$AM$16</f>
        <v>2800</v>
      </c>
      <c r="AO421" s="217"/>
      <c r="AP421" s="217"/>
      <c r="AQ421" s="217"/>
      <c r="AR421" s="4" t="s">
        <v>424</v>
      </c>
      <c r="AS421" s="253">
        <f>(E421*H421*(L421*(P421-T421)+W421*(AA421-AE421)))/((AI421/AK421)*AN421)</f>
        <v>156.15918367346939</v>
      </c>
      <c r="AT421" s="253"/>
      <c r="AU421" s="253"/>
      <c r="AV421" s="253"/>
      <c r="AW421" s="253"/>
      <c r="AX421" s="2" t="s">
        <v>113</v>
      </c>
    </row>
    <row r="422" spans="1:44" ht="12.75">
      <c r="A422" s="145"/>
      <c r="B422" s="1"/>
      <c r="E422" s="98"/>
      <c r="F422" s="5"/>
      <c r="J422" s="5"/>
      <c r="L422" s="5"/>
      <c r="M422" s="5"/>
      <c r="N422" s="5"/>
      <c r="P422" s="96"/>
      <c r="Q422" s="96"/>
      <c r="R422" s="96"/>
      <c r="T422" s="4"/>
      <c r="U422" s="4"/>
      <c r="V422" s="4"/>
      <c r="W422" s="5"/>
      <c r="X422" s="5"/>
      <c r="Y422" s="5"/>
      <c r="AA422" s="4"/>
      <c r="AB422" s="4"/>
      <c r="AC422" s="4"/>
      <c r="AH422" s="4"/>
      <c r="AI422" s="4"/>
      <c r="AJ422" s="4"/>
      <c r="AL422" s="97"/>
      <c r="AM422" s="97"/>
      <c r="AN422" s="97"/>
      <c r="AO422" s="97"/>
      <c r="AP422" s="4"/>
      <c r="AQ422" s="5"/>
      <c r="AR422" s="5"/>
    </row>
    <row r="423" spans="1:8" ht="12.75">
      <c r="A423" s="145"/>
      <c r="B423" s="1"/>
      <c r="H423" s="2"/>
    </row>
    <row r="424" spans="1:32" ht="15.75">
      <c r="A424" s="145"/>
      <c r="H424" s="2"/>
      <c r="K424" s="2" t="s">
        <v>424</v>
      </c>
      <c r="M424" s="2">
        <v>3</v>
      </c>
      <c r="N424" s="2" t="s">
        <v>100</v>
      </c>
      <c r="O424" s="210">
        <f>AS421</f>
        <v>156.15918367346939</v>
      </c>
      <c r="P424" s="210"/>
      <c r="Q424" s="210"/>
      <c r="R424" s="210"/>
      <c r="S424" s="2" t="s">
        <v>100</v>
      </c>
      <c r="T424" s="210">
        <f>AM15</f>
        <v>1250</v>
      </c>
      <c r="U424" s="210"/>
      <c r="V424" s="210"/>
      <c r="W424" s="2" t="s">
        <v>91</v>
      </c>
      <c r="X424" s="210">
        <v>16</v>
      </c>
      <c r="Y424" s="210"/>
      <c r="AA424" s="2" t="s">
        <v>424</v>
      </c>
      <c r="AB424" s="212">
        <f>M424*O424*T424/X424</f>
        <v>36599.808673469386</v>
      </c>
      <c r="AC424" s="212"/>
      <c r="AD424" s="212"/>
      <c r="AE424" s="212"/>
      <c r="AF424" s="2" t="s">
        <v>115</v>
      </c>
    </row>
    <row r="425" spans="1:8" ht="12.75">
      <c r="A425" s="145"/>
      <c r="B425" s="1"/>
      <c r="H425" s="2"/>
    </row>
    <row r="426" spans="1:20" ht="16.5">
      <c r="A426" s="145"/>
      <c r="C426" s="4" t="s">
        <v>66</v>
      </c>
      <c r="H426" s="2"/>
      <c r="M426" s="2" t="s">
        <v>67</v>
      </c>
      <c r="P426" s="212">
        <f>LOOKUP($AM$31,Sayfa2!$S$6:$S$13,Sayfa2!$AA$6:$AA$13)*1000</f>
        <v>14500</v>
      </c>
      <c r="Q426" s="212"/>
      <c r="R426" s="212"/>
      <c r="S426" s="212"/>
      <c r="T426" s="2" t="s">
        <v>130</v>
      </c>
    </row>
    <row r="427" spans="1:8" ht="12.75">
      <c r="A427" s="145"/>
      <c r="H427" s="2"/>
    </row>
    <row r="428" spans="1:32" ht="16.5">
      <c r="A428" s="145"/>
      <c r="H428" s="5" t="s">
        <v>424</v>
      </c>
      <c r="I428" s="210">
        <f>AB424</f>
        <v>36599.808673469386</v>
      </c>
      <c r="J428" s="210"/>
      <c r="K428" s="210"/>
      <c r="L428" s="210"/>
      <c r="M428" s="2" t="s">
        <v>91</v>
      </c>
      <c r="N428" s="218">
        <f>P426</f>
        <v>14500</v>
      </c>
      <c r="O428" s="218"/>
      <c r="P428" s="218"/>
      <c r="Q428" s="218"/>
      <c r="R428" s="2" t="s">
        <v>424</v>
      </c>
      <c r="S428" s="209">
        <f>I428/N428</f>
        <v>2.524124736101337</v>
      </c>
      <c r="T428" s="209"/>
      <c r="U428" s="209"/>
      <c r="V428" s="35" t="s">
        <v>132</v>
      </c>
      <c r="AF428" s="4"/>
    </row>
    <row r="429" spans="1:25" ht="12.75">
      <c r="A429" s="145"/>
      <c r="Y429" s="5"/>
    </row>
    <row r="430" ht="12.75">
      <c r="A430" s="145"/>
    </row>
    <row r="431" ht="12.75">
      <c r="A431" s="145"/>
    </row>
    <row r="432" ht="12.75">
      <c r="A432" s="145"/>
    </row>
    <row r="433" spans="1:9" ht="12.75">
      <c r="A433" s="145"/>
      <c r="B433" s="202" t="s">
        <v>511</v>
      </c>
      <c r="C433" s="149"/>
      <c r="D433" s="149"/>
      <c r="E433" s="149"/>
      <c r="F433" s="149"/>
      <c r="G433" s="149"/>
      <c r="H433" s="150"/>
      <c r="I433" s="150"/>
    </row>
    <row r="434" spans="1:50" ht="15.75">
      <c r="A434" s="145"/>
      <c r="B434" s="6" t="s">
        <v>537</v>
      </c>
      <c r="AQ434" s="312" t="s">
        <v>622</v>
      </c>
      <c r="AR434" s="312"/>
      <c r="AS434" s="312"/>
      <c r="AT434" s="312"/>
      <c r="AU434" s="312"/>
      <c r="AV434" s="312"/>
      <c r="AW434" s="312"/>
      <c r="AX434" s="312"/>
    </row>
    <row r="435" spans="1:2" ht="12.75">
      <c r="A435" s="145"/>
      <c r="B435" s="6"/>
    </row>
    <row r="436" ht="12.75">
      <c r="A436" s="145"/>
    </row>
    <row r="437" ht="12.75">
      <c r="A437" s="145"/>
    </row>
    <row r="438" spans="1:50" ht="15.75">
      <c r="A438" s="145"/>
      <c r="B438" s="200" t="s">
        <v>512</v>
      </c>
      <c r="C438" s="149"/>
      <c r="D438" s="149"/>
      <c r="E438" s="149"/>
      <c r="F438" s="149"/>
      <c r="G438" s="149"/>
      <c r="H438" s="150"/>
      <c r="I438" s="150"/>
      <c r="J438" s="149"/>
      <c r="K438" s="149"/>
      <c r="L438" s="149"/>
      <c r="M438" s="149"/>
      <c r="AQ438" s="375"/>
      <c r="AR438" s="375"/>
      <c r="AS438" s="375"/>
      <c r="AT438" s="375"/>
      <c r="AU438" s="375"/>
      <c r="AV438" s="375"/>
      <c r="AW438" s="375"/>
      <c r="AX438" s="375"/>
    </row>
    <row r="439" ht="12.75">
      <c r="A439" s="145"/>
    </row>
    <row r="440" spans="1:49" ht="14.25">
      <c r="A440" s="145"/>
      <c r="B440" s="104" t="s">
        <v>465</v>
      </c>
      <c r="C440" s="53"/>
      <c r="D440" s="53"/>
      <c r="E440" s="53"/>
      <c r="F440" s="53"/>
      <c r="G440" s="53"/>
      <c r="H440" s="48"/>
      <c r="I440" s="48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135" t="s">
        <v>104</v>
      </c>
      <c r="AI440" s="53"/>
      <c r="AJ440" s="213">
        <v>3.75</v>
      </c>
      <c r="AK440" s="213"/>
      <c r="AL440" s="213"/>
      <c r="AM440" s="53"/>
      <c r="AN440" s="53"/>
      <c r="AO440" s="53"/>
      <c r="AP440" s="53"/>
      <c r="AQ440" s="53"/>
      <c r="AR440" s="53"/>
      <c r="AS440" s="53"/>
      <c r="AT440" s="53"/>
      <c r="AU440" s="53"/>
      <c r="AV440" s="53"/>
      <c r="AW440" s="54"/>
    </row>
    <row r="441" spans="1:2" ht="12.75">
      <c r="A441" s="145"/>
      <c r="B441" s="1"/>
    </row>
    <row r="442" spans="1:44" ht="16.5">
      <c r="A442" s="145"/>
      <c r="B442" s="4" t="s">
        <v>466</v>
      </c>
      <c r="AC442" s="2" t="s">
        <v>424</v>
      </c>
      <c r="AD442" s="210">
        <f>AO215</f>
        <v>370</v>
      </c>
      <c r="AE442" s="210"/>
      <c r="AF442" s="210"/>
      <c r="AG442" s="2" t="s">
        <v>91</v>
      </c>
      <c r="AH442" s="210">
        <f>AJ440</f>
        <v>3.75</v>
      </c>
      <c r="AI442" s="210"/>
      <c r="AJ442" s="210"/>
      <c r="AK442" s="2" t="s">
        <v>424</v>
      </c>
      <c r="AL442" s="209">
        <f>AD442/AH442</f>
        <v>98.66666666666667</v>
      </c>
      <c r="AM442" s="209"/>
      <c r="AN442" s="209"/>
      <c r="AO442" s="35" t="s">
        <v>132</v>
      </c>
      <c r="AP442" s="10"/>
      <c r="AQ442" s="10"/>
      <c r="AR442" s="10"/>
    </row>
    <row r="443" spans="1:2" ht="12.75">
      <c r="A443" s="145"/>
      <c r="B443" s="4" t="s">
        <v>457</v>
      </c>
    </row>
    <row r="444" ht="12.75">
      <c r="A444" s="145"/>
    </row>
    <row r="445" spans="1:36" ht="16.5">
      <c r="A445" s="145"/>
      <c r="E445" s="103" t="s">
        <v>68</v>
      </c>
      <c r="P445" s="2" t="s">
        <v>424</v>
      </c>
      <c r="Q445" s="210">
        <f>S428</f>
        <v>2.524124736101337</v>
      </c>
      <c r="R445" s="210"/>
      <c r="S445" s="210"/>
      <c r="T445" s="4" t="s">
        <v>88</v>
      </c>
      <c r="U445" s="210">
        <f>V414</f>
        <v>18.72936754150813</v>
      </c>
      <c r="V445" s="210"/>
      <c r="W445" s="210"/>
      <c r="X445" s="2" t="s">
        <v>424</v>
      </c>
      <c r="Y445" s="209">
        <f>Q445+U445</f>
        <v>21.253492277609467</v>
      </c>
      <c r="Z445" s="209"/>
      <c r="AA445" s="209"/>
      <c r="AB445" s="35" t="s">
        <v>132</v>
      </c>
      <c r="AF445" s="24" t="s">
        <v>458</v>
      </c>
      <c r="AG445" s="209">
        <f>AL442</f>
        <v>98.66666666666667</v>
      </c>
      <c r="AH445" s="209"/>
      <c r="AI445" s="209"/>
      <c r="AJ445" s="35" t="s">
        <v>132</v>
      </c>
    </row>
    <row r="446" spans="1:2" ht="12.75">
      <c r="A446" s="145"/>
      <c r="B446" s="1"/>
    </row>
    <row r="447" spans="1:49" ht="14.25">
      <c r="A447" s="145"/>
      <c r="B447" s="104" t="s">
        <v>69</v>
      </c>
      <c r="C447" s="53"/>
      <c r="D447" s="53"/>
      <c r="E447" s="53"/>
      <c r="F447" s="53"/>
      <c r="G447" s="53"/>
      <c r="H447" s="48"/>
      <c r="I447" s="48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302">
        <v>2</v>
      </c>
      <c r="AB447" s="302"/>
      <c r="AC447" s="53" t="s">
        <v>70</v>
      </c>
      <c r="AD447" s="53"/>
      <c r="AE447" s="53"/>
      <c r="AF447" s="53"/>
      <c r="AG447" s="53"/>
      <c r="AH447" s="53"/>
      <c r="AI447" s="135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3"/>
      <c r="AV447" s="53"/>
      <c r="AW447" s="54"/>
    </row>
    <row r="448" spans="1:2" ht="12.75">
      <c r="A448" s="145"/>
      <c r="B448" s="1"/>
    </row>
    <row r="449" spans="1:28" ht="16.5">
      <c r="A449" s="145"/>
      <c r="B449" s="4" t="s">
        <v>453</v>
      </c>
      <c r="W449" s="4" t="s">
        <v>71</v>
      </c>
      <c r="Y449" s="303">
        <f>AJ225</f>
        <v>1570</v>
      </c>
      <c r="Z449" s="303"/>
      <c r="AA449" s="303"/>
      <c r="AB449" s="2" t="s">
        <v>72</v>
      </c>
    </row>
    <row r="450" spans="1:28" ht="15.75">
      <c r="A450" s="145"/>
      <c r="B450" s="4" t="s">
        <v>454</v>
      </c>
      <c r="W450" s="4" t="s">
        <v>73</v>
      </c>
      <c r="Y450" s="228">
        <f>AM22*9.81</f>
        <v>392.40000000000003</v>
      </c>
      <c r="Z450" s="228"/>
      <c r="AA450" s="228"/>
      <c r="AB450" s="2" t="s">
        <v>113</v>
      </c>
    </row>
    <row r="451" spans="1:2" ht="12.75">
      <c r="A451" s="145"/>
      <c r="B451" s="1"/>
    </row>
    <row r="452" spans="1:41" ht="16.5">
      <c r="A452" s="145"/>
      <c r="P452" s="2" t="s">
        <v>424</v>
      </c>
      <c r="Q452" s="210">
        <f>Y445</f>
        <v>21.253492277609467</v>
      </c>
      <c r="R452" s="210"/>
      <c r="S452" s="210"/>
      <c r="T452" s="2" t="s">
        <v>88</v>
      </c>
      <c r="U452" s="2" t="s">
        <v>75</v>
      </c>
      <c r="V452" s="2">
        <f>AA447</f>
        <v>2</v>
      </c>
      <c r="W452" s="2" t="s">
        <v>90</v>
      </c>
      <c r="X452" s="215">
        <f>Y450</f>
        <v>392.40000000000003</v>
      </c>
      <c r="Y452" s="215"/>
      <c r="Z452" s="215"/>
      <c r="AA452" s="2" t="s">
        <v>74</v>
      </c>
      <c r="AB452" s="218">
        <f>Y449</f>
        <v>1570</v>
      </c>
      <c r="AC452" s="218"/>
      <c r="AD452" s="218"/>
      <c r="AE452" s="2" t="s">
        <v>93</v>
      </c>
      <c r="AF452" s="2" t="s">
        <v>424</v>
      </c>
      <c r="AG452" s="209">
        <f>Q452+(V452*X452/AB452)</f>
        <v>21.753364889074437</v>
      </c>
      <c r="AH452" s="209"/>
      <c r="AI452" s="209"/>
      <c r="AJ452" s="24" t="s">
        <v>458</v>
      </c>
      <c r="AL452" s="209">
        <f>AL442</f>
        <v>98.66666666666667</v>
      </c>
      <c r="AM452" s="209"/>
      <c r="AN452" s="209"/>
      <c r="AO452" s="35" t="s">
        <v>132</v>
      </c>
    </row>
    <row r="453" spans="1:2" ht="12.75">
      <c r="A453" s="145"/>
      <c r="B453" s="1"/>
    </row>
    <row r="454" spans="1:38" ht="12.75">
      <c r="A454" s="145"/>
      <c r="AL454" s="4"/>
    </row>
    <row r="455" spans="1:14" ht="12.75">
      <c r="A455" s="145"/>
      <c r="B455" s="200" t="s">
        <v>513</v>
      </c>
      <c r="C455" s="149"/>
      <c r="D455" s="149"/>
      <c r="E455" s="149"/>
      <c r="F455" s="149"/>
      <c r="G455" s="149"/>
      <c r="H455" s="150"/>
      <c r="I455" s="150"/>
      <c r="J455" s="149"/>
      <c r="K455" s="149"/>
      <c r="L455" s="149"/>
      <c r="M455" s="149"/>
      <c r="N455" s="149"/>
    </row>
    <row r="456" spans="1:2" ht="12.75">
      <c r="A456" s="145"/>
      <c r="B456" s="22"/>
    </row>
    <row r="457" spans="1:49" ht="15.75">
      <c r="A457" s="145"/>
      <c r="B457" s="104" t="s">
        <v>76</v>
      </c>
      <c r="C457" s="53"/>
      <c r="D457" s="53"/>
      <c r="E457" s="53"/>
      <c r="F457" s="53"/>
      <c r="G457" s="53"/>
      <c r="H457" s="48"/>
      <c r="I457" s="48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228">
        <f>AG265</f>
        <v>9.5</v>
      </c>
      <c r="AH457" s="228"/>
      <c r="AI457" s="136" t="s">
        <v>426</v>
      </c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3"/>
      <c r="AV457" s="53"/>
      <c r="AW457" s="54"/>
    </row>
    <row r="458" spans="1:2" ht="12.75">
      <c r="A458" s="145"/>
      <c r="B458" s="1"/>
    </row>
    <row r="459" spans="1:11" ht="15.75">
      <c r="A459" s="145"/>
      <c r="J459" s="24"/>
      <c r="K459" s="28" t="s">
        <v>458</v>
      </c>
    </row>
    <row r="460" ht="12.75">
      <c r="A460" s="145"/>
    </row>
    <row r="461" spans="1:40" ht="16.5">
      <c r="A461" s="145"/>
      <c r="E461" s="2" t="s">
        <v>424</v>
      </c>
      <c r="F461" s="210">
        <v>1.85</v>
      </c>
      <c r="G461" s="210"/>
      <c r="H461" s="210"/>
      <c r="I461" s="5" t="s">
        <v>100</v>
      </c>
      <c r="J461" s="218">
        <f>AO406</f>
        <v>942.9612244897959</v>
      </c>
      <c r="K461" s="218"/>
      <c r="L461" s="218"/>
      <c r="M461" s="2" t="s">
        <v>91</v>
      </c>
      <c r="N461" s="301">
        <f>AG457^2</f>
        <v>90.25</v>
      </c>
      <c r="O461" s="301"/>
      <c r="P461" s="95" t="s">
        <v>424</v>
      </c>
      <c r="Q461" s="253">
        <f>F461*J461/N461</f>
        <v>19.329399061563684</v>
      </c>
      <c r="R461" s="253"/>
      <c r="S461" s="253"/>
      <c r="T461" s="4" t="s">
        <v>106</v>
      </c>
      <c r="X461" s="24" t="s">
        <v>458</v>
      </c>
      <c r="Z461" s="284">
        <f>AL442</f>
        <v>98.66666666666667</v>
      </c>
      <c r="AA461" s="284"/>
      <c r="AB461" s="284"/>
      <c r="AC461" s="35" t="s">
        <v>132</v>
      </c>
      <c r="AN461" s="4"/>
    </row>
    <row r="462" spans="1:11" ht="12.75">
      <c r="A462" s="145"/>
      <c r="B462" s="200" t="s">
        <v>514</v>
      </c>
      <c r="C462" s="149"/>
      <c r="D462" s="149"/>
      <c r="E462" s="149"/>
      <c r="F462" s="149"/>
      <c r="G462" s="149"/>
      <c r="H462" s="150"/>
      <c r="I462" s="150"/>
      <c r="J462" s="149"/>
      <c r="K462" s="149"/>
    </row>
    <row r="463" spans="1:50" ht="16.5">
      <c r="A463" s="145"/>
      <c r="B463" s="25" t="s">
        <v>459</v>
      </c>
      <c r="C463" s="47"/>
      <c r="D463" s="47"/>
      <c r="E463" s="47"/>
      <c r="F463" s="47"/>
      <c r="G463" s="47"/>
      <c r="H463" s="21"/>
      <c r="I463" s="21"/>
      <c r="J463" s="47"/>
      <c r="K463" s="47"/>
      <c r="L463" s="47"/>
      <c r="M463" s="47"/>
      <c r="N463" s="47"/>
      <c r="O463" s="47"/>
      <c r="P463" s="26" t="s">
        <v>460</v>
      </c>
      <c r="Q463" s="249" t="s">
        <v>56</v>
      </c>
      <c r="R463" s="249"/>
      <c r="S463" s="249"/>
      <c r="T463" s="249"/>
      <c r="U463" s="249"/>
      <c r="V463" s="249"/>
      <c r="W463" s="249"/>
      <c r="X463" s="47" t="s">
        <v>424</v>
      </c>
      <c r="Y463" s="212">
        <f>21000*9.81</f>
        <v>206010</v>
      </c>
      <c r="Z463" s="212"/>
      <c r="AA463" s="212"/>
      <c r="AB463" s="212"/>
      <c r="AC463" s="212"/>
      <c r="AD463" s="26" t="s">
        <v>132</v>
      </c>
      <c r="AE463" s="47"/>
      <c r="AF463" s="47"/>
      <c r="AG463" s="47"/>
      <c r="AH463" s="55"/>
      <c r="AI463" s="57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</row>
    <row r="464" spans="1:50" ht="16.5">
      <c r="A464" s="145"/>
      <c r="B464" s="16" t="s">
        <v>461</v>
      </c>
      <c r="C464" s="46"/>
      <c r="D464" s="46"/>
      <c r="E464" s="46"/>
      <c r="F464" s="46"/>
      <c r="G464" s="46"/>
      <c r="H464" s="13"/>
      <c r="I464" s="13"/>
      <c r="J464" s="46"/>
      <c r="K464" s="46"/>
      <c r="L464" s="46"/>
      <c r="M464" s="17"/>
      <c r="N464" s="46"/>
      <c r="O464" s="46"/>
      <c r="P464" s="17" t="s">
        <v>462</v>
      </c>
      <c r="Q464" s="17" t="s">
        <v>424</v>
      </c>
      <c r="R464" s="212">
        <f>LOOKUP($AM$31,Sayfa2!$S$6:$S$13,Sayfa2!$Y$6:$Y$13)*10000</f>
        <v>525000</v>
      </c>
      <c r="S464" s="212"/>
      <c r="T464" s="212"/>
      <c r="U464" s="212"/>
      <c r="V464" s="212"/>
      <c r="W464" s="46" t="s">
        <v>57</v>
      </c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9"/>
      <c r="AI464" s="57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</row>
    <row r="465" spans="1:9" ht="12.75">
      <c r="A465" s="145"/>
      <c r="C465" s="208" t="s">
        <v>54</v>
      </c>
      <c r="D465" s="210"/>
      <c r="E465" s="6" t="s">
        <v>424</v>
      </c>
      <c r="F465" s="5">
        <v>5</v>
      </c>
      <c r="G465" s="2" t="s">
        <v>55</v>
      </c>
      <c r="H465" s="2"/>
      <c r="I465" s="2"/>
    </row>
    <row r="466" spans="1:2" ht="12.75">
      <c r="A466" s="145"/>
      <c r="B466" s="1"/>
    </row>
    <row r="467" spans="1:13" ht="15.75">
      <c r="A467" s="145"/>
      <c r="M467" s="28" t="s">
        <v>458</v>
      </c>
    </row>
    <row r="468" ht="12.75">
      <c r="A468" s="145"/>
    </row>
    <row r="469" spans="1:47" ht="15.75">
      <c r="A469" s="145"/>
      <c r="D469" s="2" t="s">
        <v>424</v>
      </c>
      <c r="E469" s="237">
        <v>0.7</v>
      </c>
      <c r="F469" s="237"/>
      <c r="G469" s="237"/>
      <c r="H469" s="5" t="s">
        <v>65</v>
      </c>
      <c r="I469" s="218">
        <f>AO406</f>
        <v>942.9612244897959</v>
      </c>
      <c r="J469" s="218"/>
      <c r="K469" s="218"/>
      <c r="L469" s="2" t="s">
        <v>100</v>
      </c>
      <c r="M469" s="217">
        <f>AM15^3</f>
        <v>1953125000</v>
      </c>
      <c r="N469" s="217"/>
      <c r="O469" s="217"/>
      <c r="P469" s="217"/>
      <c r="Q469" s="217"/>
      <c r="R469" s="217"/>
      <c r="S469" s="217"/>
      <c r="T469" s="210" t="s">
        <v>77</v>
      </c>
      <c r="U469" s="210"/>
      <c r="V469" s="210">
        <v>48</v>
      </c>
      <c r="W469" s="210"/>
      <c r="X469" s="2" t="s">
        <v>100</v>
      </c>
      <c r="Y469" s="217">
        <f>AF271</f>
        <v>206010</v>
      </c>
      <c r="Z469" s="217"/>
      <c r="AA469" s="217"/>
      <c r="AB469" s="217"/>
      <c r="AC469" s="217"/>
      <c r="AD469" s="2" t="s">
        <v>100</v>
      </c>
      <c r="AE469" s="217">
        <f>R464</f>
        <v>525000</v>
      </c>
      <c r="AF469" s="217"/>
      <c r="AG469" s="217"/>
      <c r="AH469" s="217"/>
      <c r="AI469" s="217"/>
      <c r="AJ469" s="60" t="s">
        <v>93</v>
      </c>
      <c r="AK469" s="2" t="s">
        <v>424</v>
      </c>
      <c r="AL469" s="209">
        <f>E469*I469*M469/V469/Y469/AE469</f>
        <v>0.24833221979267892</v>
      </c>
      <c r="AM469" s="209"/>
      <c r="AN469" s="209"/>
      <c r="AO469" s="2" t="s">
        <v>426</v>
      </c>
      <c r="AR469" s="28" t="s">
        <v>458</v>
      </c>
      <c r="AT469" s="197">
        <f>F465</f>
        <v>5</v>
      </c>
      <c r="AU469" s="2" t="s">
        <v>426</v>
      </c>
    </row>
    <row r="470" spans="1:2" ht="12.75">
      <c r="A470" s="145"/>
      <c r="B470" s="1"/>
    </row>
    <row r="471" spans="1:35" ht="16.5">
      <c r="A471" s="145"/>
      <c r="B471" s="104" t="s">
        <v>78</v>
      </c>
      <c r="C471" s="53"/>
      <c r="D471" s="53"/>
      <c r="E471" s="53"/>
      <c r="F471" s="53"/>
      <c r="G471" s="53"/>
      <c r="H471" s="48"/>
      <c r="I471" s="48"/>
      <c r="J471" s="53"/>
      <c r="K471" s="53"/>
      <c r="L471" s="222">
        <f>AF286</f>
        <v>596000</v>
      </c>
      <c r="M471" s="299"/>
      <c r="N471" s="299"/>
      <c r="O471" s="299"/>
      <c r="P471" s="299"/>
      <c r="Q471" s="299"/>
      <c r="R471" s="53" t="s">
        <v>57</v>
      </c>
      <c r="S471" s="53"/>
      <c r="T471" s="54"/>
      <c r="AI471" s="4"/>
    </row>
    <row r="472" spans="1:2" ht="12.75">
      <c r="A472" s="145"/>
      <c r="B472" s="1"/>
    </row>
    <row r="473" spans="1:13" ht="15.75">
      <c r="A473" s="145"/>
      <c r="M473" s="28" t="s">
        <v>458</v>
      </c>
    </row>
    <row r="474" ht="12.75">
      <c r="A474" s="145"/>
    </row>
    <row r="475" spans="1:46" ht="15.75">
      <c r="A475" s="145"/>
      <c r="D475" s="2" t="s">
        <v>424</v>
      </c>
      <c r="E475" s="210">
        <v>0.7</v>
      </c>
      <c r="F475" s="210"/>
      <c r="G475" s="210"/>
      <c r="H475" s="5" t="s">
        <v>65</v>
      </c>
      <c r="I475" s="215">
        <f>AS421</f>
        <v>156.15918367346939</v>
      </c>
      <c r="J475" s="215"/>
      <c r="K475" s="215"/>
      <c r="L475" s="4" t="s">
        <v>100</v>
      </c>
      <c r="M475" s="217">
        <f>AM15^3</f>
        <v>1953125000</v>
      </c>
      <c r="N475" s="217"/>
      <c r="O475" s="217"/>
      <c r="P475" s="217"/>
      <c r="Q475" s="217"/>
      <c r="R475" s="217"/>
      <c r="S475" s="217"/>
      <c r="T475" s="210" t="s">
        <v>77</v>
      </c>
      <c r="U475" s="210"/>
      <c r="V475" s="210">
        <v>48</v>
      </c>
      <c r="W475" s="210"/>
      <c r="X475" s="2" t="s">
        <v>100</v>
      </c>
      <c r="Y475" s="217">
        <f>AF271</f>
        <v>206010</v>
      </c>
      <c r="Z475" s="217"/>
      <c r="AA475" s="217"/>
      <c r="AB475" s="217"/>
      <c r="AC475" s="217"/>
      <c r="AD475" s="4" t="s">
        <v>100</v>
      </c>
      <c r="AE475" s="217">
        <f>L471</f>
        <v>596000</v>
      </c>
      <c r="AF475" s="217"/>
      <c r="AG475" s="217"/>
      <c r="AH475" s="217"/>
      <c r="AI475" s="217"/>
      <c r="AJ475" s="2" t="s">
        <v>93</v>
      </c>
      <c r="AK475" s="2" t="s">
        <v>424</v>
      </c>
      <c r="AL475" s="253">
        <f>E475*I475*M475/V475/Y475/AE475</f>
        <v>0.03622595220974296</v>
      </c>
      <c r="AM475" s="253"/>
      <c r="AN475" s="253"/>
      <c r="AO475" s="4" t="s">
        <v>426</v>
      </c>
      <c r="AQ475" s="28" t="s">
        <v>458</v>
      </c>
      <c r="AS475" s="197">
        <f>F465</f>
        <v>5</v>
      </c>
      <c r="AT475" s="2" t="s">
        <v>426</v>
      </c>
    </row>
    <row r="476" ht="12.75">
      <c r="A476" s="145"/>
    </row>
    <row r="477" spans="1:20" ht="12.75">
      <c r="A477" s="145"/>
      <c r="B477" s="144" t="s">
        <v>516</v>
      </c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</row>
    <row r="478" spans="1:9" ht="12.75">
      <c r="A478" s="145"/>
      <c r="H478" s="2"/>
      <c r="I478" s="2"/>
    </row>
    <row r="479" spans="1:9" ht="13.5">
      <c r="A479" s="145"/>
      <c r="B479" s="37"/>
      <c r="H479" s="2"/>
      <c r="I479" s="2"/>
    </row>
    <row r="480" spans="1:9" ht="12.75">
      <c r="A480" s="145"/>
      <c r="H480" s="2"/>
      <c r="I480" s="2"/>
    </row>
    <row r="481" spans="1:9" ht="13.5">
      <c r="A481" s="145"/>
      <c r="B481" s="37"/>
      <c r="H481" s="2"/>
      <c r="I481" s="2"/>
    </row>
    <row r="482" spans="1:9" ht="13.5">
      <c r="A482" s="145"/>
      <c r="B482" s="37"/>
      <c r="H482" s="2"/>
      <c r="I482" s="2"/>
    </row>
    <row r="483" spans="1:9" ht="12.75">
      <c r="A483" s="145"/>
      <c r="H483" s="2"/>
      <c r="I483" s="2"/>
    </row>
    <row r="484" spans="1:9" ht="12.75">
      <c r="A484" s="145"/>
      <c r="B484" s="38"/>
      <c r="H484" s="2"/>
      <c r="I484" s="2"/>
    </row>
    <row r="485" spans="1:9" ht="12.75">
      <c r="A485" s="145"/>
      <c r="B485" s="38"/>
      <c r="H485" s="2"/>
      <c r="I485" s="2"/>
    </row>
    <row r="486" spans="1:9" ht="13.5">
      <c r="A486" s="145"/>
      <c r="B486" s="37"/>
      <c r="H486" s="2"/>
      <c r="I486" s="2"/>
    </row>
    <row r="487" spans="1:9" ht="15.75">
      <c r="A487" s="145"/>
      <c r="B487" s="39"/>
      <c r="H487" s="2"/>
      <c r="I487" s="2"/>
    </row>
    <row r="488" spans="1:9" ht="15.75">
      <c r="A488" s="145"/>
      <c r="B488" s="39"/>
      <c r="H488" s="2"/>
      <c r="I488" s="2"/>
    </row>
    <row r="489" spans="1:9" ht="15.75">
      <c r="A489" s="145"/>
      <c r="B489" s="39"/>
      <c r="H489" s="2"/>
      <c r="I489" s="2"/>
    </row>
    <row r="490" spans="1:9" ht="15.75">
      <c r="A490" s="145"/>
      <c r="B490" s="39"/>
      <c r="H490" s="2"/>
      <c r="I490" s="2"/>
    </row>
    <row r="491" spans="1:9" ht="15.75">
      <c r="A491" s="145"/>
      <c r="B491" s="39"/>
      <c r="H491" s="2"/>
      <c r="I491" s="2"/>
    </row>
    <row r="492" spans="1:9" ht="15.75">
      <c r="A492" s="145"/>
      <c r="B492" s="39"/>
      <c r="H492" s="2"/>
      <c r="I492" s="2"/>
    </row>
    <row r="493" spans="1:50" ht="15.75">
      <c r="A493" s="145"/>
      <c r="B493" s="39"/>
      <c r="H493" s="2"/>
      <c r="I493" s="2"/>
      <c r="AQ493" s="312" t="s">
        <v>623</v>
      </c>
      <c r="AR493" s="312"/>
      <c r="AS493" s="312"/>
      <c r="AT493" s="312"/>
      <c r="AU493" s="312"/>
      <c r="AV493" s="312"/>
      <c r="AW493" s="312"/>
      <c r="AX493" s="312"/>
    </row>
    <row r="494" spans="1:9" ht="15.75">
      <c r="A494" s="145"/>
      <c r="B494" s="39"/>
      <c r="H494" s="2"/>
      <c r="I494" s="2"/>
    </row>
    <row r="495" spans="1:9" ht="15.75">
      <c r="A495" s="145"/>
      <c r="B495" s="39"/>
      <c r="H495" s="2"/>
      <c r="I495" s="2"/>
    </row>
    <row r="496" spans="1:50" ht="12.75">
      <c r="A496" s="145"/>
      <c r="B496" s="25" t="s">
        <v>18</v>
      </c>
      <c r="C496" s="47"/>
      <c r="D496" s="47"/>
      <c r="E496" s="47"/>
      <c r="F496" s="47"/>
      <c r="G496" s="47"/>
      <c r="H496" s="21"/>
      <c r="I496" s="47"/>
      <c r="J496" s="47"/>
      <c r="K496" s="47"/>
      <c r="L496" s="26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178"/>
      <c r="AF496" s="179" t="s">
        <v>539</v>
      </c>
      <c r="AG496" s="178"/>
      <c r="AH496" s="178">
        <v>2</v>
      </c>
      <c r="AI496" s="178"/>
      <c r="AJ496" s="178"/>
      <c r="AK496" s="178"/>
      <c r="AL496" s="178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55"/>
    </row>
    <row r="497" spans="1:50" ht="14.25">
      <c r="A497" s="145"/>
      <c r="B497" s="34" t="s">
        <v>19</v>
      </c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180"/>
      <c r="AF497" s="181" t="s">
        <v>16</v>
      </c>
      <c r="AG497" s="180"/>
      <c r="AH497" s="216">
        <v>785</v>
      </c>
      <c r="AI497" s="216"/>
      <c r="AJ497" s="216"/>
      <c r="AK497" s="180" t="s">
        <v>426</v>
      </c>
      <c r="AL497" s="180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56"/>
    </row>
    <row r="498" spans="1:50" ht="12.75">
      <c r="A498" s="145"/>
      <c r="B498" s="16" t="s">
        <v>20</v>
      </c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182"/>
      <c r="AF498" s="183" t="s">
        <v>538</v>
      </c>
      <c r="AG498" s="184"/>
      <c r="AH498" s="216">
        <v>760</v>
      </c>
      <c r="AI498" s="216"/>
      <c r="AJ498" s="216"/>
      <c r="AK498" s="182" t="s">
        <v>426</v>
      </c>
      <c r="AL498" s="182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9"/>
    </row>
    <row r="499" spans="1:9" ht="12.75">
      <c r="A499" s="145"/>
      <c r="B499" s="1"/>
      <c r="H499" s="2"/>
      <c r="I499" s="2"/>
    </row>
    <row r="500" spans="1:9" ht="14.25">
      <c r="A500" s="145"/>
      <c r="B500" s="9" t="s">
        <v>614</v>
      </c>
      <c r="C500" s="10"/>
      <c r="D500" s="10"/>
      <c r="E500" s="10"/>
      <c r="F500" s="10"/>
      <c r="G500" s="10"/>
      <c r="H500" s="10"/>
      <c r="I500" s="2"/>
    </row>
    <row r="501" spans="1:49" ht="14.25">
      <c r="A501" s="145"/>
      <c r="B501" s="59"/>
      <c r="C501" s="26" t="s">
        <v>21</v>
      </c>
      <c r="D501" s="47"/>
      <c r="E501" s="47"/>
      <c r="F501" s="47"/>
      <c r="G501" s="47"/>
      <c r="H501" s="21"/>
      <c r="I501" s="47"/>
      <c r="J501" s="47"/>
      <c r="K501" s="47"/>
      <c r="L501" s="47"/>
      <c r="M501" s="47"/>
      <c r="N501" s="47"/>
      <c r="O501" s="47"/>
      <c r="P501" s="26" t="s">
        <v>22</v>
      </c>
      <c r="Q501" s="47"/>
      <c r="R501" s="47"/>
      <c r="S501" s="47"/>
      <c r="T501" s="47"/>
      <c r="U501" s="47"/>
      <c r="V501" s="47"/>
      <c r="W501" s="47"/>
      <c r="X501" s="47"/>
      <c r="Y501" s="47"/>
      <c r="Z501" s="26" t="s">
        <v>23</v>
      </c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15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55"/>
    </row>
    <row r="502" spans="1:49" ht="14.25">
      <c r="A502" s="145"/>
      <c r="B502" s="57"/>
      <c r="C502" s="35" t="s">
        <v>21</v>
      </c>
      <c r="D502" s="45"/>
      <c r="E502" s="45"/>
      <c r="F502" s="45"/>
      <c r="G502" s="45"/>
      <c r="H502" s="36"/>
      <c r="I502" s="45"/>
      <c r="J502" s="45"/>
      <c r="K502" s="45"/>
      <c r="L502" s="45"/>
      <c r="M502" s="45"/>
      <c r="N502" s="45"/>
      <c r="O502" s="45"/>
      <c r="P502" s="35" t="s">
        <v>112</v>
      </c>
      <c r="Q502" s="45"/>
      <c r="R502" s="45"/>
      <c r="S502" s="45"/>
      <c r="T502" s="45"/>
      <c r="U502" s="45"/>
      <c r="V502" s="45"/>
      <c r="W502" s="45"/>
      <c r="X502" s="45"/>
      <c r="Y502" s="45"/>
      <c r="Z502" s="35" t="s">
        <v>24</v>
      </c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0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56"/>
    </row>
    <row r="503" spans="1:49" ht="14.25">
      <c r="A503" s="145"/>
      <c r="B503" s="58"/>
      <c r="C503" s="17" t="s">
        <v>25</v>
      </c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17" t="s">
        <v>112</v>
      </c>
      <c r="Q503" s="46"/>
      <c r="R503" s="46"/>
      <c r="S503" s="46"/>
      <c r="T503" s="46"/>
      <c r="U503" s="46"/>
      <c r="V503" s="46"/>
      <c r="W503" s="46"/>
      <c r="X503" s="46"/>
      <c r="Y503" s="46"/>
      <c r="Z503" s="17" t="s">
        <v>26</v>
      </c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1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9"/>
    </row>
    <row r="504" spans="1:31" ht="12.75">
      <c r="A504" s="145"/>
      <c r="H504" s="2"/>
      <c r="Z504" s="4" t="s">
        <v>17</v>
      </c>
      <c r="AB504" s="210">
        <f>AM32</f>
        <v>1569.6000000000001</v>
      </c>
      <c r="AC504" s="210"/>
      <c r="AD504" s="210"/>
      <c r="AE504" s="2" t="s">
        <v>113</v>
      </c>
    </row>
    <row r="505" spans="1:9" ht="12.75">
      <c r="A505" s="145"/>
      <c r="B505" s="3" t="s">
        <v>517</v>
      </c>
      <c r="H505" s="2"/>
      <c r="I505" s="2"/>
    </row>
    <row r="506" spans="1:9" ht="12.75">
      <c r="A506" s="145"/>
      <c r="B506" s="1"/>
      <c r="H506" s="2"/>
      <c r="I506" s="2"/>
    </row>
    <row r="507" spans="1:39" ht="15.75">
      <c r="A507" s="145"/>
      <c r="C507" s="4" t="s">
        <v>467</v>
      </c>
      <c r="H507" s="2"/>
      <c r="I507" s="2"/>
      <c r="AI507" s="186" t="s">
        <v>30</v>
      </c>
      <c r="AJ507" s="187"/>
      <c r="AK507" s="306">
        <v>1.2</v>
      </c>
      <c r="AL507" s="306"/>
      <c r="AM507" s="2" t="s">
        <v>61</v>
      </c>
    </row>
    <row r="508" spans="1:9" ht="12.75">
      <c r="A508" s="145"/>
      <c r="B508" s="1"/>
      <c r="H508" s="2"/>
      <c r="I508" s="2"/>
    </row>
    <row r="509" spans="1:9" ht="12.75">
      <c r="A509" s="145"/>
      <c r="H509" s="2"/>
      <c r="I509" s="2"/>
    </row>
    <row r="510" spans="1:9" ht="12.75">
      <c r="A510" s="145"/>
      <c r="B510" s="1"/>
      <c r="H510" s="2"/>
      <c r="I510" s="2"/>
    </row>
    <row r="511" spans="1:9" ht="12.75">
      <c r="A511" s="145"/>
      <c r="B511" s="1"/>
      <c r="H511" s="2"/>
      <c r="I511" s="2"/>
    </row>
    <row r="512" spans="1:9" ht="12.75">
      <c r="A512" s="145"/>
      <c r="B512" s="1"/>
      <c r="H512" s="2"/>
      <c r="I512" s="2"/>
    </row>
    <row r="513" spans="1:51" ht="15.75">
      <c r="A513" s="145"/>
      <c r="B513" s="1"/>
      <c r="D513" s="2" t="s">
        <v>424</v>
      </c>
      <c r="E513" s="210">
        <v>9.81</v>
      </c>
      <c r="F513" s="210"/>
      <c r="G513" s="210"/>
      <c r="H513" s="2" t="s">
        <v>100</v>
      </c>
      <c r="I513" s="210">
        <f>AM13</f>
        <v>600</v>
      </c>
      <c r="J513" s="210"/>
      <c r="K513" s="210"/>
      <c r="L513" s="2" t="s">
        <v>65</v>
      </c>
      <c r="M513" s="217">
        <f>AM27</f>
        <v>785</v>
      </c>
      <c r="N513" s="217"/>
      <c r="O513" s="217"/>
      <c r="P513" s="2" t="s">
        <v>89</v>
      </c>
      <c r="Q513" s="2">
        <f>AM25</f>
        <v>0</v>
      </c>
      <c r="R513" s="2" t="s">
        <v>31</v>
      </c>
      <c r="S513" s="210">
        <f>AB504</f>
        <v>1569.6000000000001</v>
      </c>
      <c r="T513" s="210"/>
      <c r="U513" s="210"/>
      <c r="V513" s="2" t="s">
        <v>65</v>
      </c>
      <c r="W513" s="210">
        <f>AH497</f>
        <v>785</v>
      </c>
      <c r="X513" s="210"/>
      <c r="Y513" s="210"/>
      <c r="Z513" s="2" t="s">
        <v>89</v>
      </c>
      <c r="AA513" s="2">
        <f>AM25</f>
        <v>0</v>
      </c>
      <c r="AB513" s="210" t="s">
        <v>74</v>
      </c>
      <c r="AC513" s="210"/>
      <c r="AD513" s="2">
        <f>AM30</f>
        <v>3.5</v>
      </c>
      <c r="AE513" s="2" t="s">
        <v>100</v>
      </c>
      <c r="AF513" s="210">
        <f>AM16</f>
        <v>2800</v>
      </c>
      <c r="AG513" s="210"/>
      <c r="AH513" s="210"/>
      <c r="AJ513" s="2" t="s">
        <v>424</v>
      </c>
      <c r="AK513" s="219">
        <f>(E513*I513*(M513-Q513)+S513*(W513-AD513))/(AM30*AF513)</f>
        <v>596.6482040816327</v>
      </c>
      <c r="AL513" s="219"/>
      <c r="AM513" s="219"/>
      <c r="AN513" s="2" t="s">
        <v>113</v>
      </c>
      <c r="AY513" s="4"/>
    </row>
    <row r="514" spans="1:9" ht="12.75">
      <c r="A514" s="145"/>
      <c r="H514" s="2"/>
      <c r="I514" s="2"/>
    </row>
    <row r="515" spans="1:29" ht="12.75">
      <c r="A515" s="145"/>
      <c r="H515" s="2"/>
      <c r="I515" s="2"/>
      <c r="J515" s="2" t="s">
        <v>424</v>
      </c>
      <c r="K515" s="2">
        <v>3</v>
      </c>
      <c r="L515" s="2" t="s">
        <v>100</v>
      </c>
      <c r="M515" s="210">
        <f>AK513</f>
        <v>596.6482040816327</v>
      </c>
      <c r="N515" s="210"/>
      <c r="O515" s="210"/>
      <c r="P515" s="2" t="s">
        <v>100</v>
      </c>
      <c r="Q515" s="210">
        <f>AM15</f>
        <v>1250</v>
      </c>
      <c r="R515" s="210"/>
      <c r="S515" s="210"/>
      <c r="T515" s="2" t="s">
        <v>91</v>
      </c>
      <c r="U515" s="210">
        <v>16</v>
      </c>
      <c r="V515" s="210"/>
      <c r="W515" s="2" t="s">
        <v>424</v>
      </c>
      <c r="X515" s="231">
        <f>K515*M515*Q515/U515</f>
        <v>139839.42283163266</v>
      </c>
      <c r="Y515" s="231"/>
      <c r="Z515" s="231"/>
      <c r="AA515" s="231"/>
      <c r="AB515" s="231"/>
      <c r="AC515" s="2" t="s">
        <v>115</v>
      </c>
    </row>
    <row r="516" spans="1:9" ht="12.75">
      <c r="A516" s="145"/>
      <c r="B516" s="1"/>
      <c r="H516" s="2"/>
      <c r="I516" s="2"/>
    </row>
    <row r="517" spans="1:28" ht="16.5">
      <c r="A517" s="145"/>
      <c r="C517" s="104" t="s">
        <v>540</v>
      </c>
      <c r="D517" s="53"/>
      <c r="E517" s="53"/>
      <c r="F517" s="53"/>
      <c r="G517" s="53"/>
      <c r="H517" s="53"/>
      <c r="I517" s="53"/>
      <c r="J517" s="53"/>
      <c r="K517" s="53"/>
      <c r="L517" s="53" t="s">
        <v>541</v>
      </c>
      <c r="M517" s="53"/>
      <c r="N517" s="53"/>
      <c r="O517" s="53"/>
      <c r="P517" s="53"/>
      <c r="Q517" s="53"/>
      <c r="R517" s="53"/>
      <c r="S517" s="53"/>
      <c r="T517" s="53"/>
      <c r="U517" s="53"/>
      <c r="V517" s="222">
        <f>LOOKUP($AM$31,Sayfa2!$S$6:$S$13,Sayfa2!$AB$6:$AB$13)*1000</f>
        <v>11800</v>
      </c>
      <c r="W517" s="222"/>
      <c r="X517" s="222"/>
      <c r="Y517" s="222"/>
      <c r="Z517" s="53" t="s">
        <v>130</v>
      </c>
      <c r="AA517" s="53"/>
      <c r="AB517" s="54"/>
    </row>
    <row r="518" spans="1:9" ht="12.75">
      <c r="A518" s="145"/>
      <c r="H518" s="2"/>
      <c r="I518" s="2"/>
    </row>
    <row r="519" spans="1:51" ht="15.75">
      <c r="A519" s="145"/>
      <c r="H519" s="5" t="s">
        <v>424</v>
      </c>
      <c r="I519" s="231">
        <f>X515</f>
        <v>139839.42283163266</v>
      </c>
      <c r="J519" s="231"/>
      <c r="K519" s="231"/>
      <c r="L519" s="231"/>
      <c r="M519" s="231"/>
      <c r="N519" s="2" t="s">
        <v>91</v>
      </c>
      <c r="O519" s="217">
        <f>Z358</f>
        <v>11800</v>
      </c>
      <c r="P519" s="217"/>
      <c r="Q519" s="217"/>
      <c r="R519" s="217"/>
      <c r="S519" s="2" t="s">
        <v>424</v>
      </c>
      <c r="T519" s="220">
        <f>I519/O519</f>
        <v>11.850798545053616</v>
      </c>
      <c r="U519" s="220"/>
      <c r="V519" s="220"/>
      <c r="W519" s="2" t="s">
        <v>36</v>
      </c>
      <c r="AY519" s="4"/>
    </row>
    <row r="520" spans="1:9" ht="12.75">
      <c r="A520" s="145"/>
      <c r="B520" s="1"/>
      <c r="H520" s="2"/>
      <c r="I520" s="2"/>
    </row>
    <row r="521" spans="1:9" ht="12.75">
      <c r="A521" s="145"/>
      <c r="B521" s="1"/>
      <c r="H521" s="2"/>
      <c r="I521" s="2"/>
    </row>
    <row r="522" spans="1:9" ht="12.75">
      <c r="A522" s="145"/>
      <c r="B522" s="1"/>
      <c r="H522" s="2"/>
      <c r="I522" s="2"/>
    </row>
    <row r="523" spans="1:9" ht="12.75">
      <c r="A523" s="145"/>
      <c r="B523" s="1"/>
      <c r="H523" s="2"/>
      <c r="I523" s="2"/>
    </row>
    <row r="524" spans="1:9" ht="12.75">
      <c r="A524" s="145"/>
      <c r="B524" s="1"/>
      <c r="H524" s="2"/>
      <c r="I524" s="2"/>
    </row>
    <row r="525" spans="1:9" ht="12.75">
      <c r="A525" s="145"/>
      <c r="B525" s="1"/>
      <c r="H525" s="2"/>
      <c r="I525" s="2"/>
    </row>
    <row r="526" spans="1:53" ht="15.75">
      <c r="A526" s="145"/>
      <c r="D526" s="2" t="s">
        <v>424</v>
      </c>
      <c r="E526" s="237">
        <v>9.81</v>
      </c>
      <c r="F526" s="237"/>
      <c r="G526" s="237"/>
      <c r="H526" s="95" t="s">
        <v>100</v>
      </c>
      <c r="I526" s="210">
        <f>AM13</f>
        <v>600</v>
      </c>
      <c r="J526" s="210"/>
      <c r="K526" s="210"/>
      <c r="L526" s="2" t="s">
        <v>65</v>
      </c>
      <c r="M526" s="231">
        <f>AM28</f>
        <v>0</v>
      </c>
      <c r="N526" s="231"/>
      <c r="O526" s="44" t="s">
        <v>89</v>
      </c>
      <c r="P526" s="215">
        <f>AM26</f>
        <v>0</v>
      </c>
      <c r="Q526" s="215"/>
      <c r="R526" s="5" t="s">
        <v>31</v>
      </c>
      <c r="S526" s="210">
        <f>AB504</f>
        <v>1569.6000000000001</v>
      </c>
      <c r="T526" s="210"/>
      <c r="U526" s="210"/>
      <c r="V526" s="2" t="s">
        <v>65</v>
      </c>
      <c r="W526" s="210">
        <f>AH498</f>
        <v>760</v>
      </c>
      <c r="X526" s="210"/>
      <c r="Y526" s="210"/>
      <c r="Z526" s="2" t="s">
        <v>89</v>
      </c>
      <c r="AA526" s="2">
        <v>0</v>
      </c>
      <c r="AB526" s="210" t="s">
        <v>74</v>
      </c>
      <c r="AC526" s="210"/>
      <c r="AD526" s="2">
        <f>AM30</f>
        <v>3.5</v>
      </c>
      <c r="AE526" s="2" t="s">
        <v>100</v>
      </c>
      <c r="AF526" s="210">
        <f>AM16</f>
        <v>2800</v>
      </c>
      <c r="AG526" s="210"/>
      <c r="AH526" s="210"/>
      <c r="AI526" s="2" t="s">
        <v>91</v>
      </c>
      <c r="AJ526" s="2">
        <v>2</v>
      </c>
      <c r="AL526" s="2" t="s">
        <v>424</v>
      </c>
      <c r="AM526" s="219">
        <f>(E526*I526*(M526-P526)+S526*(W526-AA526))/(AD526*AF526/AJ526)</f>
        <v>243.44816326530614</v>
      </c>
      <c r="AN526" s="219"/>
      <c r="AO526" s="219"/>
      <c r="AP526" s="4" t="s">
        <v>113</v>
      </c>
      <c r="AX526" s="4"/>
      <c r="BA526" s="4"/>
    </row>
    <row r="527" spans="1:52" ht="12.75">
      <c r="A527" s="145"/>
      <c r="E527" s="128"/>
      <c r="F527" s="128"/>
      <c r="G527" s="128"/>
      <c r="H527" s="95"/>
      <c r="J527" s="5"/>
      <c r="K527" s="5"/>
      <c r="M527" s="96"/>
      <c r="N527" s="96"/>
      <c r="O527" s="44"/>
      <c r="P527" s="98"/>
      <c r="Q527" s="98"/>
      <c r="S527" s="5"/>
      <c r="T527" s="5"/>
      <c r="U527" s="5"/>
      <c r="W527" s="5"/>
      <c r="X527" s="5"/>
      <c r="AA527" s="5"/>
      <c r="AB527" s="5"/>
      <c r="AE527" s="5"/>
      <c r="AF527" s="5"/>
      <c r="AG527" s="5"/>
      <c r="AL527" s="5"/>
      <c r="AM527" s="5"/>
      <c r="AN527" s="5"/>
      <c r="AO527" s="4"/>
      <c r="AW527" s="4"/>
      <c r="AZ527" s="4"/>
    </row>
    <row r="528" spans="1:9" ht="12.75">
      <c r="A528" s="145"/>
      <c r="H528" s="2"/>
      <c r="I528" s="2"/>
    </row>
    <row r="529" spans="1:30" ht="15.75">
      <c r="A529" s="145"/>
      <c r="H529" s="2"/>
      <c r="I529" s="2"/>
      <c r="L529" s="2" t="s">
        <v>424</v>
      </c>
      <c r="M529" s="2">
        <v>3</v>
      </c>
      <c r="N529" s="2" t="s">
        <v>100</v>
      </c>
      <c r="O529" s="210">
        <f>AM526</f>
        <v>243.44816326530614</v>
      </c>
      <c r="P529" s="210"/>
      <c r="Q529" s="210"/>
      <c r="R529" s="2" t="s">
        <v>100</v>
      </c>
      <c r="S529" s="210">
        <f>AM15</f>
        <v>1250</v>
      </c>
      <c r="T529" s="210"/>
      <c r="U529" s="210"/>
      <c r="V529" s="2" t="s">
        <v>91</v>
      </c>
      <c r="W529" s="210">
        <v>16</v>
      </c>
      <c r="X529" s="210"/>
      <c r="Y529" s="2" t="s">
        <v>424</v>
      </c>
      <c r="Z529" s="220">
        <f>M529*O529*S529/W529</f>
        <v>57058.163265306124</v>
      </c>
      <c r="AA529" s="220"/>
      <c r="AB529" s="220"/>
      <c r="AC529" s="220"/>
      <c r="AD529" s="2" t="s">
        <v>115</v>
      </c>
    </row>
    <row r="530" spans="1:9" ht="12.75">
      <c r="A530" s="145"/>
      <c r="B530" s="1"/>
      <c r="H530" s="2"/>
      <c r="I530" s="2"/>
    </row>
    <row r="531" spans="1:51" ht="16.5">
      <c r="A531" s="145"/>
      <c r="B531" s="105"/>
      <c r="C531" s="135" t="s">
        <v>468</v>
      </c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240"/>
      <c r="O531" s="240"/>
      <c r="P531" s="240"/>
      <c r="Q531" s="53"/>
      <c r="R531" s="53"/>
      <c r="S531" s="53"/>
      <c r="T531" s="53"/>
      <c r="U531" s="53"/>
      <c r="V531" s="222">
        <f>LOOKUP($AM$31,Sayfa2!$S$6:$S$13,Sayfa2!$AA$6:$AA$13)*1000</f>
        <v>14500</v>
      </c>
      <c r="W531" s="222"/>
      <c r="X531" s="222"/>
      <c r="Y531" s="222"/>
      <c r="Z531" s="235" t="s">
        <v>130</v>
      </c>
      <c r="AA531" s="235"/>
      <c r="AB531" s="54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</row>
    <row r="532" spans="1:9" ht="12.75">
      <c r="A532" s="145"/>
      <c r="H532" s="2"/>
      <c r="I532" s="2"/>
    </row>
    <row r="533" spans="1:45" ht="15.75">
      <c r="A533" s="145"/>
      <c r="I533" s="2" t="s">
        <v>424</v>
      </c>
      <c r="J533" s="218">
        <f>Z529</f>
        <v>57058.163265306124</v>
      </c>
      <c r="K533" s="218"/>
      <c r="L533" s="218"/>
      <c r="M533" s="218"/>
      <c r="N533" s="2" t="s">
        <v>91</v>
      </c>
      <c r="O533" s="217">
        <f>V517</f>
        <v>11800</v>
      </c>
      <c r="P533" s="217"/>
      <c r="Q533" s="217"/>
      <c r="R533" s="217"/>
      <c r="S533" s="2" t="s">
        <v>424</v>
      </c>
      <c r="T533" s="219">
        <f>J533/O533</f>
        <v>4.835437564856451</v>
      </c>
      <c r="U533" s="219"/>
      <c r="V533" s="219"/>
      <c r="W533" s="2" t="s">
        <v>36</v>
      </c>
      <c r="AS533" s="4"/>
    </row>
    <row r="534" spans="1:9" ht="12.75">
      <c r="A534" s="145"/>
      <c r="B534" s="1"/>
      <c r="H534" s="2"/>
      <c r="I534" s="2"/>
    </row>
    <row r="535" spans="1:9" ht="12.75">
      <c r="A535" s="145"/>
      <c r="B535" s="1"/>
      <c r="H535" s="2"/>
      <c r="I535" s="2"/>
    </row>
    <row r="536" spans="1:9" ht="12.75">
      <c r="A536" s="145"/>
      <c r="B536" s="1"/>
      <c r="H536" s="2"/>
      <c r="I536" s="2"/>
    </row>
    <row r="537" spans="1:9" ht="12.75">
      <c r="A537" s="145"/>
      <c r="B537" s="1"/>
      <c r="H537" s="2"/>
      <c r="I537" s="2"/>
    </row>
    <row r="538" spans="1:9" ht="12.75">
      <c r="A538" s="145"/>
      <c r="B538" s="22" t="s">
        <v>518</v>
      </c>
      <c r="H538" s="2"/>
      <c r="I538" s="2"/>
    </row>
    <row r="539" spans="1:9" ht="12.75">
      <c r="A539" s="145"/>
      <c r="H539" s="2"/>
      <c r="I539" s="2"/>
    </row>
    <row r="540" spans="1:50" ht="15.75">
      <c r="A540" s="145"/>
      <c r="B540" s="104" t="s">
        <v>32</v>
      </c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188" t="s">
        <v>104</v>
      </c>
      <c r="AL540" s="189"/>
      <c r="AM540" s="239">
        <v>3.75</v>
      </c>
      <c r="AN540" s="239"/>
      <c r="AO540" s="239"/>
      <c r="AP540" s="54"/>
      <c r="AQ540" s="57"/>
      <c r="AR540" s="45"/>
      <c r="AS540" s="45"/>
      <c r="AT540" s="45"/>
      <c r="AU540" s="45"/>
      <c r="AV540" s="45"/>
      <c r="AW540" s="45"/>
      <c r="AX540" s="45"/>
    </row>
    <row r="541" spans="1:9" ht="12.75">
      <c r="A541" s="145"/>
      <c r="B541" s="4" t="s">
        <v>505</v>
      </c>
      <c r="H541" s="2"/>
      <c r="I541" s="2"/>
    </row>
    <row r="542" spans="1:9" ht="12.75">
      <c r="A542" s="145"/>
      <c r="H542" s="2"/>
      <c r="I542" s="2"/>
    </row>
    <row r="543" spans="1:37" ht="16.5">
      <c r="A543" s="145"/>
      <c r="H543" s="5" t="s">
        <v>424</v>
      </c>
      <c r="I543" s="210">
        <f>AO215</f>
        <v>370</v>
      </c>
      <c r="J543" s="210"/>
      <c r="K543" s="210"/>
      <c r="L543" s="2" t="s">
        <v>91</v>
      </c>
      <c r="M543" s="210">
        <f>AM540</f>
        <v>3.75</v>
      </c>
      <c r="N543" s="210"/>
      <c r="O543" s="210"/>
      <c r="P543" s="2" t="s">
        <v>424</v>
      </c>
      <c r="Q543" s="219">
        <f>I543/M543</f>
        <v>98.66666666666667</v>
      </c>
      <c r="R543" s="219"/>
      <c r="S543" s="219"/>
      <c r="T543" s="2" t="s">
        <v>36</v>
      </c>
      <c r="AH543" s="4"/>
      <c r="AK543" s="4"/>
    </row>
    <row r="544" spans="1:9" ht="12.75">
      <c r="A544" s="145"/>
      <c r="B544" s="1"/>
      <c r="H544" s="2"/>
      <c r="I544" s="2"/>
    </row>
    <row r="545" spans="1:9" ht="12.75">
      <c r="A545" s="145"/>
      <c r="B545" s="4" t="s">
        <v>457</v>
      </c>
      <c r="H545" s="2"/>
      <c r="I545" s="2"/>
    </row>
    <row r="546" spans="1:9" ht="12.75">
      <c r="A546" s="145"/>
      <c r="H546" s="2"/>
      <c r="I546" s="2"/>
    </row>
    <row r="547" spans="1:9" ht="14.25">
      <c r="A547" s="145"/>
      <c r="D547" s="24" t="s">
        <v>1</v>
      </c>
      <c r="H547" s="2"/>
      <c r="I547" s="2"/>
    </row>
    <row r="548" spans="1:34" ht="16.5">
      <c r="A548" s="145"/>
      <c r="F548" s="2" t="s">
        <v>424</v>
      </c>
      <c r="G548" s="2">
        <f>T533</f>
        <v>4.835437564856451</v>
      </c>
      <c r="H548" s="2" t="s">
        <v>88</v>
      </c>
      <c r="I548" s="237">
        <f>T519</f>
        <v>11.850798545053616</v>
      </c>
      <c r="J548" s="237"/>
      <c r="K548" s="237"/>
      <c r="L548" s="2" t="s">
        <v>424</v>
      </c>
      <c r="M548" s="241">
        <f>G548+I548</f>
        <v>16.686236109910066</v>
      </c>
      <c r="N548" s="219"/>
      <c r="O548" s="219"/>
      <c r="P548" s="2" t="s">
        <v>36</v>
      </c>
      <c r="T548" s="24" t="s">
        <v>458</v>
      </c>
      <c r="V548" s="219">
        <f>Q543</f>
        <v>98.66666666666667</v>
      </c>
      <c r="W548" s="219"/>
      <c r="X548" s="219"/>
      <c r="Y548" s="2" t="s">
        <v>36</v>
      </c>
      <c r="AH548" s="4"/>
    </row>
    <row r="549" spans="1:9" ht="12.75">
      <c r="A549" s="145"/>
      <c r="B549" s="1"/>
      <c r="H549" s="2"/>
      <c r="I549" s="2"/>
    </row>
    <row r="550" spans="1:51" ht="15.75">
      <c r="A550" s="145"/>
      <c r="B550" s="25" t="s">
        <v>69</v>
      </c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325">
        <v>2</v>
      </c>
      <c r="AA550" s="325"/>
      <c r="AB550" s="47" t="s">
        <v>0</v>
      </c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55"/>
      <c r="AO550" s="57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</row>
    <row r="551" spans="1:51" ht="16.5">
      <c r="A551" s="145"/>
      <c r="B551" s="34" t="s">
        <v>453</v>
      </c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35" t="s">
        <v>27</v>
      </c>
      <c r="AG551" s="45"/>
      <c r="AH551" s="248">
        <f>AJ225</f>
        <v>1570</v>
      </c>
      <c r="AI551" s="248"/>
      <c r="AJ551" s="248"/>
      <c r="AK551" s="45" t="s">
        <v>370</v>
      </c>
      <c r="AL551" s="45"/>
      <c r="AM551" s="45"/>
      <c r="AN551" s="56"/>
      <c r="AO551" s="57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</row>
    <row r="552" spans="1:51" ht="15.75">
      <c r="A552" s="145"/>
      <c r="B552" s="16" t="s">
        <v>454</v>
      </c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17" t="s">
        <v>73</v>
      </c>
      <c r="AG552" s="46"/>
      <c r="AH552" s="320">
        <f>AM22*9.81</f>
        <v>392.40000000000003</v>
      </c>
      <c r="AI552" s="320"/>
      <c r="AJ552" s="320"/>
      <c r="AK552" s="46" t="s">
        <v>113</v>
      </c>
      <c r="AL552" s="46"/>
      <c r="AM552" s="46"/>
      <c r="AN552" s="49"/>
      <c r="AO552" s="57"/>
      <c r="AP552" s="45"/>
      <c r="AQ552" s="312" t="s">
        <v>624</v>
      </c>
      <c r="AR552" s="312"/>
      <c r="AS552" s="312"/>
      <c r="AT552" s="312"/>
      <c r="AU552" s="312"/>
      <c r="AV552" s="312"/>
      <c r="AW552" s="312"/>
      <c r="AX552" s="312"/>
      <c r="AY552" s="45"/>
    </row>
    <row r="553" spans="1:9" ht="12.75">
      <c r="A553" s="145"/>
      <c r="H553" s="2"/>
      <c r="I553" s="2"/>
    </row>
    <row r="554" spans="1:53" ht="15.75">
      <c r="A554" s="145"/>
      <c r="H554" s="2"/>
      <c r="I554" s="2"/>
      <c r="Q554" s="2" t="s">
        <v>424</v>
      </c>
      <c r="R554" s="237">
        <f>M548</f>
        <v>16.686236109910066</v>
      </c>
      <c r="S554" s="210"/>
      <c r="T554" s="210"/>
      <c r="U554" s="107" t="s">
        <v>28</v>
      </c>
      <c r="V554" s="2">
        <f>Z550</f>
        <v>2</v>
      </c>
      <c r="W554" s="2" t="s">
        <v>100</v>
      </c>
      <c r="X554" s="210">
        <f>AH552</f>
        <v>392.40000000000003</v>
      </c>
      <c r="Y554" s="210"/>
      <c r="Z554" s="210"/>
      <c r="AA554" s="2" t="s">
        <v>91</v>
      </c>
      <c r="AB554" s="210">
        <f>AH551</f>
        <v>1570</v>
      </c>
      <c r="AC554" s="210"/>
      <c r="AD554" s="210"/>
      <c r="AE554" s="2" t="s">
        <v>93</v>
      </c>
      <c r="AF554" s="2" t="s">
        <v>424</v>
      </c>
      <c r="AH554" s="241">
        <f>R554+(V554*X554/AB554)</f>
        <v>17.186108721375035</v>
      </c>
      <c r="AI554" s="241"/>
      <c r="AJ554" s="241"/>
      <c r="AK554" s="2" t="s">
        <v>36</v>
      </c>
      <c r="AO554" s="24" t="s">
        <v>458</v>
      </c>
      <c r="AP554" s="219">
        <f>Q543</f>
        <v>98.66666666666667</v>
      </c>
      <c r="AQ554" s="219"/>
      <c r="AR554" s="219"/>
      <c r="AS554" s="2" t="s">
        <v>36</v>
      </c>
      <c r="BA554" s="4"/>
    </row>
    <row r="555" spans="1:42" ht="12.75">
      <c r="A555" s="145"/>
      <c r="H555" s="2"/>
      <c r="I555" s="2"/>
      <c r="R555" s="128"/>
      <c r="S555" s="5"/>
      <c r="T555" s="5"/>
      <c r="U555" s="107"/>
      <c r="Z555" s="5"/>
      <c r="AA555" s="5"/>
      <c r="AB555" s="5"/>
      <c r="AD555" s="24"/>
      <c r="AF555" s="5"/>
      <c r="AG555" s="5"/>
      <c r="AH555" s="5"/>
      <c r="AN555" s="128"/>
      <c r="AO555" s="128"/>
      <c r="AP555" s="128"/>
    </row>
    <row r="556" spans="1:9" ht="12.75">
      <c r="A556" s="145"/>
      <c r="B556" s="23"/>
      <c r="H556" s="2"/>
      <c r="I556" s="2"/>
    </row>
    <row r="557" spans="1:15" ht="12.75">
      <c r="A557" s="145"/>
      <c r="B557" s="202" t="s">
        <v>33</v>
      </c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</row>
    <row r="558" spans="1:9" ht="12.75">
      <c r="A558" s="145"/>
      <c r="B558" s="3"/>
      <c r="H558" s="2"/>
      <c r="I558" s="2"/>
    </row>
    <row r="559" spans="1:36" ht="15.75">
      <c r="A559" s="145"/>
      <c r="B559" s="104" t="s">
        <v>76</v>
      </c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236">
        <f>LOOKUP($AM$31,Sayfa2!$S$6:$S$13,Sayfa2!$T$6:$T$13)</f>
        <v>9.5</v>
      </c>
      <c r="AG559" s="236"/>
      <c r="AH559" s="53" t="s">
        <v>426</v>
      </c>
      <c r="AI559" s="53"/>
      <c r="AJ559" s="54"/>
    </row>
    <row r="560" spans="1:36" ht="12.75">
      <c r="A560" s="145"/>
      <c r="B560" s="3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140"/>
      <c r="AG560" s="140"/>
      <c r="AH560" s="45"/>
      <c r="AI560" s="45"/>
      <c r="AJ560" s="45"/>
    </row>
    <row r="561" spans="1:9" ht="12.75">
      <c r="A561" s="145"/>
      <c r="B561" s="1"/>
      <c r="H561" s="2"/>
      <c r="I561" s="2"/>
    </row>
    <row r="562" spans="1:9" ht="12.75">
      <c r="A562" s="145"/>
      <c r="H562" s="2"/>
      <c r="I562" s="2"/>
    </row>
    <row r="563" spans="1:38" ht="15.75">
      <c r="A563" s="145"/>
      <c r="H563" s="2"/>
      <c r="I563" s="2"/>
      <c r="AL563" s="28"/>
    </row>
    <row r="564" spans="1:30" ht="16.5">
      <c r="A564" s="145"/>
      <c r="E564" s="2" t="s">
        <v>424</v>
      </c>
      <c r="F564" s="210">
        <v>1.85</v>
      </c>
      <c r="G564" s="210"/>
      <c r="H564" s="210"/>
      <c r="I564" s="2" t="s">
        <v>100</v>
      </c>
      <c r="J564" s="210">
        <f>AK513</f>
        <v>596.6482040816327</v>
      </c>
      <c r="K564" s="210"/>
      <c r="L564" s="210"/>
      <c r="M564" s="2" t="s">
        <v>91</v>
      </c>
      <c r="N564" s="215">
        <f>AF559^2</f>
        <v>90.25</v>
      </c>
      <c r="O564" s="215"/>
      <c r="P564" s="215"/>
      <c r="Q564" s="4" t="s">
        <v>424</v>
      </c>
      <c r="R564" s="209">
        <f>F564*J564/N564</f>
        <v>12.23046180111934</v>
      </c>
      <c r="S564" s="209"/>
      <c r="T564" s="209"/>
      <c r="U564" s="2" t="s">
        <v>36</v>
      </c>
      <c r="Y564" s="28" t="s">
        <v>458</v>
      </c>
      <c r="AA564" s="209">
        <f>Q543</f>
        <v>98.66666666666667</v>
      </c>
      <c r="AB564" s="209"/>
      <c r="AC564" s="209"/>
      <c r="AD564" s="2" t="s">
        <v>36</v>
      </c>
    </row>
    <row r="565" spans="1:12" ht="15">
      <c r="A565" s="145"/>
      <c r="B565" s="203" t="s">
        <v>34</v>
      </c>
      <c r="C565" s="204"/>
      <c r="D565" s="204"/>
      <c r="E565" s="204"/>
      <c r="F565" s="204"/>
      <c r="G565" s="204"/>
      <c r="H565" s="204"/>
      <c r="I565" s="204"/>
      <c r="J565" s="204"/>
      <c r="K565" s="204"/>
      <c r="L565" s="149"/>
    </row>
    <row r="566" spans="1:51" ht="16.5">
      <c r="A566" s="145"/>
      <c r="B566" s="25" t="s">
        <v>459</v>
      </c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26" t="s">
        <v>460</v>
      </c>
      <c r="AF566" s="249" t="s">
        <v>56</v>
      </c>
      <c r="AG566" s="249"/>
      <c r="AH566" s="249"/>
      <c r="AI566" s="249"/>
      <c r="AJ566" s="249"/>
      <c r="AK566" s="249"/>
      <c r="AL566" s="47" t="s">
        <v>424</v>
      </c>
      <c r="AM566" s="234">
        <f>21000*9.81</f>
        <v>206010</v>
      </c>
      <c r="AN566" s="234"/>
      <c r="AO566" s="234"/>
      <c r="AP566" s="234"/>
      <c r="AQ566" s="234"/>
      <c r="AR566" s="26" t="s">
        <v>132</v>
      </c>
      <c r="AS566" s="47"/>
      <c r="AT566" s="47"/>
      <c r="AU566" s="47"/>
      <c r="AV566" s="55"/>
      <c r="AW566" s="57"/>
      <c r="AX566" s="45"/>
      <c r="AY566" s="45"/>
    </row>
    <row r="567" spans="1:51" ht="16.5">
      <c r="A567" s="145"/>
      <c r="B567" s="34" t="s">
        <v>461</v>
      </c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35" t="s">
        <v>462</v>
      </c>
      <c r="AF567" s="35" t="s">
        <v>424</v>
      </c>
      <c r="AG567" s="212">
        <f>LOOKUP($AM$31,Sayfa2!$S$6:$S$13,Sayfa2!$Y$6:$Y$13)*10000</f>
        <v>525000</v>
      </c>
      <c r="AH567" s="212"/>
      <c r="AI567" s="212"/>
      <c r="AJ567" s="212"/>
      <c r="AK567" s="212"/>
      <c r="AL567" s="45" t="s">
        <v>57</v>
      </c>
      <c r="AM567" s="45"/>
      <c r="AN567" s="45"/>
      <c r="AO567" s="45"/>
      <c r="AP567" s="45"/>
      <c r="AQ567" s="45"/>
      <c r="AR567" s="45"/>
      <c r="AS567" s="45"/>
      <c r="AT567" s="45"/>
      <c r="AU567" s="45"/>
      <c r="AV567" s="56"/>
      <c r="AW567" s="57"/>
      <c r="AX567" s="45"/>
      <c r="AY567" s="45"/>
    </row>
    <row r="568" spans="1:51" ht="15.75">
      <c r="A568" s="145"/>
      <c r="B568" s="57"/>
      <c r="C568" s="45"/>
      <c r="D568" s="45"/>
      <c r="E568" s="45"/>
      <c r="F568" s="45"/>
      <c r="G568" s="45"/>
      <c r="H568" s="36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35"/>
      <c r="AD568" s="238" t="s">
        <v>54</v>
      </c>
      <c r="AE568" s="226"/>
      <c r="AF568" s="45" t="s">
        <v>424</v>
      </c>
      <c r="AG568" s="197">
        <v>5</v>
      </c>
      <c r="AH568" s="45" t="s">
        <v>2</v>
      </c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56"/>
      <c r="AW568" s="57"/>
      <c r="AX568" s="45"/>
      <c r="AY568" s="45"/>
    </row>
    <row r="569" spans="1:51" ht="12.75">
      <c r="A569" s="145"/>
      <c r="B569" s="112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9"/>
      <c r="AW569" s="57"/>
      <c r="AX569" s="45"/>
      <c r="AY569" s="45"/>
    </row>
    <row r="570" spans="1:9" ht="12.75">
      <c r="A570" s="145"/>
      <c r="H570" s="2"/>
      <c r="I570" s="2"/>
    </row>
    <row r="571" spans="1:15" ht="15.75">
      <c r="A571" s="145"/>
      <c r="E571" s="1"/>
      <c r="H571" s="2"/>
      <c r="I571" s="2"/>
      <c r="M571" s="28" t="s">
        <v>458</v>
      </c>
      <c r="O571" s="2" t="s">
        <v>542</v>
      </c>
    </row>
    <row r="572" spans="1:9" ht="12.75">
      <c r="A572" s="145"/>
      <c r="E572" s="1"/>
      <c r="H572" s="2"/>
      <c r="I572" s="2"/>
    </row>
    <row r="573" spans="1:51" ht="15.75">
      <c r="A573" s="145"/>
      <c r="D573" s="2" t="s">
        <v>424</v>
      </c>
      <c r="E573" s="210">
        <v>0.7</v>
      </c>
      <c r="F573" s="210"/>
      <c r="G573" s="2" t="s">
        <v>100</v>
      </c>
      <c r="H573" s="210">
        <f>AK513</f>
        <v>596.6482040816327</v>
      </c>
      <c r="I573" s="210"/>
      <c r="J573" s="210"/>
      <c r="K573" s="2" t="s">
        <v>100</v>
      </c>
      <c r="L573" s="210">
        <f>AM15^3</f>
        <v>1953125000</v>
      </c>
      <c r="M573" s="210"/>
      <c r="N573" s="210"/>
      <c r="O573" s="210"/>
      <c r="P573" s="210"/>
      <c r="Q573" s="210"/>
      <c r="R573" s="2" t="s">
        <v>91</v>
      </c>
      <c r="S573" s="210">
        <v>48</v>
      </c>
      <c r="T573" s="210"/>
      <c r="U573" s="2" t="s">
        <v>100</v>
      </c>
      <c r="V573" s="217">
        <f>AM566</f>
        <v>206010</v>
      </c>
      <c r="W573" s="217"/>
      <c r="X573" s="217"/>
      <c r="Y573" s="217"/>
      <c r="Z573" s="217"/>
      <c r="AA573" s="4" t="s">
        <v>100</v>
      </c>
      <c r="AB573" s="217">
        <f>AG567</f>
        <v>525000</v>
      </c>
      <c r="AC573" s="217"/>
      <c r="AD573" s="217"/>
      <c r="AE573" s="217"/>
      <c r="AF573" s="217"/>
      <c r="AG573" s="2" t="s">
        <v>424</v>
      </c>
      <c r="AH573" s="219">
        <f>(E573*H573*L573)/(S573*V573*AB573)</f>
        <v>0.1571294440395206</v>
      </c>
      <c r="AI573" s="219"/>
      <c r="AJ573" s="219"/>
      <c r="AL573" s="28" t="s">
        <v>458</v>
      </c>
      <c r="AN573" s="177">
        <f>AG568</f>
        <v>5</v>
      </c>
      <c r="AO573" s="2" t="s">
        <v>426</v>
      </c>
      <c r="AY573" s="4"/>
    </row>
    <row r="574" spans="1:51" ht="12.75">
      <c r="A574" s="145"/>
      <c r="B574" s="1"/>
      <c r="H574" s="2"/>
      <c r="I574" s="2"/>
      <c r="AY574" s="4"/>
    </row>
    <row r="575" spans="1:50" ht="16.5">
      <c r="A575" s="145"/>
      <c r="B575" s="104" t="s">
        <v>461</v>
      </c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135" t="s">
        <v>464</v>
      </c>
      <c r="AG575" s="135" t="s">
        <v>424</v>
      </c>
      <c r="AH575" s="222">
        <f>AF286</f>
        <v>596000</v>
      </c>
      <c r="AI575" s="222"/>
      <c r="AJ575" s="222"/>
      <c r="AK575" s="222"/>
      <c r="AL575" s="222"/>
      <c r="AM575" s="53" t="s">
        <v>57</v>
      </c>
      <c r="AN575" s="53"/>
      <c r="AO575" s="53"/>
      <c r="AP575" s="54"/>
      <c r="AQ575" s="57"/>
      <c r="AR575" s="45"/>
      <c r="AS575" s="45"/>
      <c r="AT575" s="45"/>
      <c r="AU575" s="45"/>
      <c r="AV575" s="45"/>
      <c r="AW575" s="45"/>
      <c r="AX575" s="45"/>
    </row>
    <row r="576" spans="1:9" ht="12.75">
      <c r="A576" s="145"/>
      <c r="H576" s="2"/>
      <c r="I576" s="2"/>
    </row>
    <row r="577" spans="1:16" ht="15.75">
      <c r="A577" s="145"/>
      <c r="E577" s="1"/>
      <c r="H577" s="2"/>
      <c r="I577" s="2"/>
      <c r="N577" s="28" t="s">
        <v>458</v>
      </c>
      <c r="P577" s="2" t="s">
        <v>542</v>
      </c>
    </row>
    <row r="578" spans="1:9" ht="12.75">
      <c r="A578" s="145"/>
      <c r="H578" s="2"/>
      <c r="I578" s="2"/>
    </row>
    <row r="579" ht="12.75">
      <c r="A579" s="145"/>
    </row>
    <row r="580" spans="1:49" ht="15.75">
      <c r="A580" s="145"/>
      <c r="D580" s="2" t="s">
        <v>424</v>
      </c>
      <c r="E580" s="210">
        <v>0.7</v>
      </c>
      <c r="F580" s="210"/>
      <c r="G580" s="2" t="s">
        <v>100</v>
      </c>
      <c r="H580" s="210">
        <f>AM526</f>
        <v>243.44816326530614</v>
      </c>
      <c r="I580" s="210"/>
      <c r="J580" s="210"/>
      <c r="K580" s="2" t="s">
        <v>100</v>
      </c>
      <c r="L580" s="210">
        <f>AM15^3</f>
        <v>1953125000</v>
      </c>
      <c r="M580" s="210"/>
      <c r="N580" s="210"/>
      <c r="O580" s="210"/>
      <c r="P580" s="210"/>
      <c r="Q580" s="210"/>
      <c r="R580" s="2" t="s">
        <v>91</v>
      </c>
      <c r="S580" s="210">
        <v>48</v>
      </c>
      <c r="T580" s="210"/>
      <c r="U580" s="2" t="s">
        <v>100</v>
      </c>
      <c r="V580" s="217">
        <f>AM566</f>
        <v>206010</v>
      </c>
      <c r="W580" s="217"/>
      <c r="X580" s="217"/>
      <c r="Y580" s="217"/>
      <c r="Z580" s="217"/>
      <c r="AA580" s="4" t="s">
        <v>100</v>
      </c>
      <c r="AB580" s="217">
        <f>AH575</f>
        <v>596000</v>
      </c>
      <c r="AC580" s="217"/>
      <c r="AD580" s="217"/>
      <c r="AE580" s="217"/>
      <c r="AF580" s="217"/>
      <c r="AG580" s="2" t="s">
        <v>424</v>
      </c>
      <c r="AH580" s="219">
        <f>(E580*H580*L580)/(S580*V580*AB580)</f>
        <v>0.05647533062441979</v>
      </c>
      <c r="AI580" s="219"/>
      <c r="AJ580" s="219"/>
      <c r="AL580" s="28" t="s">
        <v>458</v>
      </c>
      <c r="AN580" s="177">
        <f>AG568</f>
        <v>5</v>
      </c>
      <c r="AO580" s="2" t="s">
        <v>426</v>
      </c>
      <c r="AW580" s="4"/>
    </row>
    <row r="581" ht="12.75">
      <c r="A581" s="145"/>
    </row>
    <row r="582" ht="12.75">
      <c r="A582" s="145"/>
    </row>
    <row r="583" ht="12.75">
      <c r="A583" s="145"/>
    </row>
    <row r="584" spans="1:31" ht="12.75">
      <c r="A584" s="145"/>
      <c r="B584" s="202" t="s">
        <v>37</v>
      </c>
      <c r="C584" s="149"/>
      <c r="D584" s="149"/>
      <c r="E584" s="149"/>
      <c r="F584" s="149"/>
      <c r="G584" s="149"/>
      <c r="H584" s="149"/>
      <c r="I584" s="149"/>
      <c r="J584" s="149"/>
      <c r="K584" s="149"/>
      <c r="L584" s="149"/>
      <c r="M584" s="149"/>
      <c r="N584" s="149"/>
      <c r="O584" s="149"/>
      <c r="P584" s="149"/>
      <c r="Q584" s="149"/>
      <c r="R584" s="149"/>
      <c r="S584" s="149"/>
      <c r="T584" s="149"/>
      <c r="U584" s="149"/>
      <c r="V584" s="149"/>
      <c r="W584" s="149"/>
      <c r="X584" s="149"/>
      <c r="Y584" s="149"/>
      <c r="Z584" s="149"/>
      <c r="AA584" s="149"/>
      <c r="AB584" s="149"/>
      <c r="AC584" s="149"/>
      <c r="AD584" s="149"/>
      <c r="AE584" s="149"/>
    </row>
    <row r="585" spans="1:9" ht="12.75">
      <c r="A585" s="145"/>
      <c r="C585" s="3" t="s">
        <v>519</v>
      </c>
      <c r="H585" s="2"/>
      <c r="I585" s="2"/>
    </row>
    <row r="586" spans="1:9" ht="12.75">
      <c r="A586" s="145"/>
      <c r="B586" s="1"/>
      <c r="H586" s="2"/>
      <c r="I586" s="2"/>
    </row>
    <row r="587" spans="1:50" ht="15.75">
      <c r="A587" s="145"/>
      <c r="B587" s="25" t="s">
        <v>38</v>
      </c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26" t="s">
        <v>39</v>
      </c>
      <c r="AG587" s="26" t="s">
        <v>424</v>
      </c>
      <c r="AH587" s="205">
        <f>LOOKUP($AM$31,Sayfa2!$S$6:$S$13,Sayfa2!$V$6:$V$13)*9.81</f>
        <v>120.66300000000001</v>
      </c>
      <c r="AI587" s="205"/>
      <c r="AJ587" s="205"/>
      <c r="AK587" s="113" t="s">
        <v>5</v>
      </c>
      <c r="AL587" s="113"/>
      <c r="AM587" s="47"/>
      <c r="AN587" s="55"/>
      <c r="AO587" s="57"/>
      <c r="AP587" s="45"/>
      <c r="AQ587" s="45"/>
      <c r="AR587" s="45"/>
      <c r="AS587" s="45"/>
      <c r="AT587" s="45"/>
      <c r="AU587" s="45"/>
      <c r="AV587" s="45"/>
      <c r="AW587" s="45"/>
      <c r="AX587" s="45"/>
    </row>
    <row r="588" spans="1:50" ht="15.75">
      <c r="A588" s="145"/>
      <c r="B588" s="16" t="s">
        <v>40</v>
      </c>
      <c r="C588" s="46"/>
      <c r="D588" s="46"/>
      <c r="E588" s="46"/>
      <c r="F588" s="46"/>
      <c r="G588" s="46"/>
      <c r="H588" s="13"/>
      <c r="I588" s="13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295" t="s">
        <v>41</v>
      </c>
      <c r="AF588" s="295"/>
      <c r="AG588" s="17" t="s">
        <v>424</v>
      </c>
      <c r="AH588" s="228">
        <f>$AM$21</f>
        <v>8.7</v>
      </c>
      <c r="AI588" s="228"/>
      <c r="AJ588" s="228"/>
      <c r="AK588" s="46" t="s">
        <v>84</v>
      </c>
      <c r="AL588" s="46"/>
      <c r="AM588" s="46"/>
      <c r="AN588" s="49"/>
      <c r="AO588" s="57"/>
      <c r="AP588" s="45"/>
      <c r="AQ588" s="45"/>
      <c r="AR588" s="45"/>
      <c r="AS588" s="45"/>
      <c r="AT588" s="45"/>
      <c r="AU588" s="45"/>
      <c r="AV588" s="45"/>
      <c r="AW588" s="45"/>
      <c r="AX588" s="45"/>
    </row>
    <row r="589" spans="1:9" ht="12.75">
      <c r="A589" s="145"/>
      <c r="B589" s="1"/>
      <c r="H589" s="2"/>
      <c r="I589" s="2"/>
    </row>
    <row r="590" spans="1:9" ht="12.75">
      <c r="A590" s="145"/>
      <c r="C590" s="4" t="s">
        <v>520</v>
      </c>
      <c r="H590" s="2"/>
      <c r="I590" s="2"/>
    </row>
    <row r="591" spans="1:9" ht="12.75">
      <c r="A591" s="145"/>
      <c r="H591" s="2"/>
      <c r="I591" s="2"/>
    </row>
    <row r="592" spans="1:51" ht="14.25">
      <c r="A592" s="145"/>
      <c r="B592" s="1"/>
      <c r="D592" s="4" t="s">
        <v>42</v>
      </c>
      <c r="H592" s="2"/>
      <c r="I592" s="2"/>
      <c r="K592" s="2" t="s">
        <v>424</v>
      </c>
      <c r="L592" s="231">
        <f>AH587</f>
        <v>120.66300000000001</v>
      </c>
      <c r="M592" s="210"/>
      <c r="N592" s="210"/>
      <c r="O592" s="2" t="s">
        <v>100</v>
      </c>
      <c r="P592" s="215">
        <f>AH588</f>
        <v>8.7</v>
      </c>
      <c r="Q592" s="210"/>
      <c r="R592" s="210"/>
      <c r="S592" s="2" t="s">
        <v>424</v>
      </c>
      <c r="T592" s="232">
        <f>L592*P592</f>
        <v>1049.7681</v>
      </c>
      <c r="U592" s="232"/>
      <c r="V592" s="232"/>
      <c r="W592" s="232"/>
      <c r="X592" s="2" t="s">
        <v>113</v>
      </c>
      <c r="AR592" s="4"/>
      <c r="AY592" s="4"/>
    </row>
    <row r="593" spans="1:9" ht="12.75">
      <c r="A593" s="145"/>
      <c r="B593" s="1"/>
      <c r="H593" s="2"/>
      <c r="I593" s="2"/>
    </row>
    <row r="594" spans="1:9" ht="12.75">
      <c r="A594" s="145"/>
      <c r="C594" s="4" t="s">
        <v>521</v>
      </c>
      <c r="H594" s="2"/>
      <c r="I594" s="2"/>
    </row>
    <row r="595" spans="1:9" ht="12.75">
      <c r="A595" s="145"/>
      <c r="C595" s="4"/>
      <c r="H595" s="2"/>
      <c r="I595" s="2"/>
    </row>
    <row r="596" spans="1:32" ht="15.75">
      <c r="A596" s="145"/>
      <c r="E596" s="4" t="s">
        <v>6</v>
      </c>
      <c r="H596" s="2"/>
      <c r="I596" s="2"/>
      <c r="O596" s="2" t="s">
        <v>424</v>
      </c>
      <c r="P596" s="217">
        <f>AG203</f>
        <v>5605.714285714285</v>
      </c>
      <c r="Q596" s="217"/>
      <c r="R596" s="217"/>
      <c r="S596" s="217"/>
      <c r="T596" s="217"/>
      <c r="U596" s="2" t="s">
        <v>88</v>
      </c>
      <c r="V596" s="231">
        <f>T592</f>
        <v>1049.7681</v>
      </c>
      <c r="W596" s="231"/>
      <c r="X596" s="231"/>
      <c r="Y596" s="231"/>
      <c r="Z596" s="2" t="s">
        <v>424</v>
      </c>
      <c r="AA596" s="205">
        <f>P596+V596</f>
        <v>6655.482385714286</v>
      </c>
      <c r="AB596" s="209"/>
      <c r="AC596" s="209"/>
      <c r="AD596" s="209"/>
      <c r="AE596" s="209"/>
      <c r="AF596" s="2" t="s">
        <v>113</v>
      </c>
    </row>
    <row r="597" spans="1:9" ht="12.75">
      <c r="A597" s="145"/>
      <c r="B597" s="1"/>
      <c r="H597" s="2"/>
      <c r="I597" s="2"/>
    </row>
    <row r="598" spans="1:9" ht="12.75">
      <c r="A598" s="145"/>
      <c r="B598" s="3" t="s">
        <v>43</v>
      </c>
      <c r="H598" s="2"/>
      <c r="I598" s="2"/>
    </row>
    <row r="599" spans="1:9" ht="12.75">
      <c r="A599" s="145"/>
      <c r="B599" s="3"/>
      <c r="H599" s="2"/>
      <c r="I599" s="2"/>
    </row>
    <row r="600" spans="1:26" ht="14.25">
      <c r="A600" s="145"/>
      <c r="B600" s="4" t="s">
        <v>44</v>
      </c>
      <c r="H600" s="2"/>
      <c r="I600" s="2"/>
      <c r="Y600" s="4" t="s">
        <v>402</v>
      </c>
      <c r="Z600" s="4" t="s">
        <v>45</v>
      </c>
    </row>
    <row r="601" spans="1:46" ht="15.75">
      <c r="A601" s="145"/>
      <c r="B601" s="9"/>
      <c r="I601" s="2"/>
      <c r="Z601" s="2" t="s">
        <v>424</v>
      </c>
      <c r="AA601" s="2">
        <v>4</v>
      </c>
      <c r="AB601" s="2" t="s">
        <v>100</v>
      </c>
      <c r="AC601" s="210">
        <v>9.81</v>
      </c>
      <c r="AD601" s="210"/>
      <c r="AE601" s="210"/>
      <c r="AF601" s="5" t="s">
        <v>65</v>
      </c>
      <c r="AG601" s="210">
        <f>AM13</f>
        <v>600</v>
      </c>
      <c r="AH601" s="210"/>
      <c r="AI601" s="210"/>
      <c r="AJ601" s="2" t="s">
        <v>88</v>
      </c>
      <c r="AK601" s="210">
        <f>AM14</f>
        <v>400</v>
      </c>
      <c r="AL601" s="210"/>
      <c r="AM601" s="210"/>
      <c r="AN601" s="2" t="s">
        <v>3</v>
      </c>
      <c r="AO601" s="205">
        <f>AA601*AC601*(AG601+AK601)</f>
        <v>39240</v>
      </c>
      <c r="AP601" s="205"/>
      <c r="AQ601" s="205"/>
      <c r="AR601" s="205"/>
      <c r="AS601" s="205"/>
      <c r="AT601" s="2" t="s">
        <v>113</v>
      </c>
    </row>
    <row r="602" spans="1:26" ht="12.75">
      <c r="A602" s="145"/>
      <c r="B602" s="9"/>
      <c r="I602" s="2"/>
      <c r="Z602" s="4"/>
    </row>
    <row r="603" spans="1:50" ht="12" customHeight="1">
      <c r="A603" s="145"/>
      <c r="B603" s="313" t="s">
        <v>543</v>
      </c>
      <c r="C603" s="314"/>
      <c r="D603" s="314"/>
      <c r="E603" s="314"/>
      <c r="F603" s="314"/>
      <c r="G603" s="314"/>
      <c r="H603" s="314"/>
      <c r="I603" s="314"/>
      <c r="J603" s="314"/>
      <c r="K603" s="314"/>
      <c r="L603" s="314"/>
      <c r="M603" s="314"/>
      <c r="N603" s="314"/>
      <c r="O603" s="314"/>
      <c r="P603" s="314"/>
      <c r="Q603" s="314"/>
      <c r="R603" s="314"/>
      <c r="S603" s="314"/>
      <c r="T603" s="314"/>
      <c r="U603" s="314"/>
      <c r="V603" s="314"/>
      <c r="W603" s="314"/>
      <c r="X603" s="314"/>
      <c r="Y603" s="314"/>
      <c r="Z603" s="314"/>
      <c r="AA603" s="314"/>
      <c r="AB603" s="314"/>
      <c r="AC603" s="314"/>
      <c r="AD603" s="314"/>
      <c r="AE603" s="314"/>
      <c r="AF603" s="314"/>
      <c r="AG603" s="314"/>
      <c r="AH603" s="314"/>
      <c r="AI603" s="314"/>
      <c r="AJ603" s="314"/>
      <c r="AK603" s="314"/>
      <c r="AL603" s="314"/>
      <c r="AM603" s="314"/>
      <c r="AN603" s="314"/>
      <c r="AO603" s="314"/>
      <c r="AP603" s="314"/>
      <c r="AQ603" s="314"/>
      <c r="AR603" s="314"/>
      <c r="AS603" s="314"/>
      <c r="AT603" s="314"/>
      <c r="AU603" s="314"/>
      <c r="AV603" s="314"/>
      <c r="AW603" s="314"/>
      <c r="AX603" s="315"/>
    </row>
    <row r="604" spans="1:50" ht="12" customHeight="1">
      <c r="A604" s="145"/>
      <c r="B604" s="316"/>
      <c r="C604" s="317"/>
      <c r="D604" s="317"/>
      <c r="E604" s="317"/>
      <c r="F604" s="317"/>
      <c r="G604" s="317"/>
      <c r="H604" s="317"/>
      <c r="I604" s="317"/>
      <c r="J604" s="317"/>
      <c r="K604" s="317"/>
      <c r="L604" s="317"/>
      <c r="M604" s="317"/>
      <c r="N604" s="317"/>
      <c r="O604" s="317"/>
      <c r="P604" s="317"/>
      <c r="Q604" s="317"/>
      <c r="R604" s="317"/>
      <c r="S604" s="317"/>
      <c r="T604" s="317"/>
      <c r="U604" s="317"/>
      <c r="V604" s="317"/>
      <c r="W604" s="317"/>
      <c r="X604" s="317"/>
      <c r="Y604" s="317"/>
      <c r="Z604" s="317"/>
      <c r="AA604" s="317"/>
      <c r="AB604" s="317"/>
      <c r="AC604" s="317"/>
      <c r="AD604" s="317"/>
      <c r="AE604" s="317"/>
      <c r="AF604" s="317"/>
      <c r="AG604" s="317"/>
      <c r="AH604" s="317"/>
      <c r="AI604" s="317"/>
      <c r="AJ604" s="317"/>
      <c r="AK604" s="317"/>
      <c r="AL604" s="317"/>
      <c r="AM604" s="317"/>
      <c r="AN604" s="317"/>
      <c r="AO604" s="317"/>
      <c r="AP604" s="317"/>
      <c r="AQ604" s="317"/>
      <c r="AR604" s="317"/>
      <c r="AS604" s="317"/>
      <c r="AT604" s="317"/>
      <c r="AU604" s="317"/>
      <c r="AV604" s="317"/>
      <c r="AW604" s="317"/>
      <c r="AX604" s="318"/>
    </row>
    <row r="605" spans="1:50" ht="12" customHeight="1">
      <c r="A605" s="145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</row>
    <row r="606" spans="1:9" ht="12.75">
      <c r="A606" s="145"/>
      <c r="B606" s="202" t="s">
        <v>544</v>
      </c>
      <c r="C606" s="149"/>
      <c r="D606" s="149"/>
      <c r="E606" s="149"/>
      <c r="F606" s="149"/>
      <c r="G606" s="149"/>
      <c r="H606" s="149"/>
      <c r="I606" s="149"/>
    </row>
    <row r="607" spans="1:40" ht="14.25">
      <c r="A607" s="145"/>
      <c r="B607" s="1"/>
      <c r="H607" s="2"/>
      <c r="I607" s="2"/>
      <c r="W607" s="105"/>
      <c r="X607" s="53" t="s">
        <v>551</v>
      </c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 t="s">
        <v>424</v>
      </c>
      <c r="AL607" s="198">
        <v>1</v>
      </c>
      <c r="AM607" s="54"/>
      <c r="AN607" s="45"/>
    </row>
    <row r="608" spans="1:40" ht="12.75">
      <c r="A608" s="145"/>
      <c r="B608" s="1"/>
      <c r="H608" s="2"/>
      <c r="I608" s="2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</row>
    <row r="609" spans="1:47" ht="12.75">
      <c r="A609" s="145"/>
      <c r="B609" s="1"/>
      <c r="E609" s="59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55"/>
    </row>
    <row r="610" spans="1:47" ht="15.75">
      <c r="A610" s="145"/>
      <c r="E610" s="57"/>
      <c r="F610" s="35" t="s">
        <v>86</v>
      </c>
      <c r="G610" s="45"/>
      <c r="H610" s="45"/>
      <c r="I610" s="45"/>
      <c r="J610" s="45"/>
      <c r="K610" s="45"/>
      <c r="L610" s="45"/>
      <c r="M610" s="45"/>
      <c r="N610" s="45"/>
      <c r="O610" s="45" t="s">
        <v>85</v>
      </c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307">
        <v>1.15</v>
      </c>
      <c r="AA610" s="307"/>
      <c r="AB610" s="307"/>
      <c r="AC610" s="45" t="s">
        <v>100</v>
      </c>
      <c r="AD610" s="45" t="s">
        <v>545</v>
      </c>
      <c r="AE610" s="45" t="s">
        <v>546</v>
      </c>
      <c r="AF610" s="307">
        <f>Z610</f>
        <v>1.15</v>
      </c>
      <c r="AG610" s="226"/>
      <c r="AH610" s="226"/>
      <c r="AI610" s="45" t="s">
        <v>100</v>
      </c>
      <c r="AJ610" s="225">
        <f>AM20</f>
        <v>1</v>
      </c>
      <c r="AK610" s="226"/>
      <c r="AL610" s="226"/>
      <c r="AM610" s="45" t="s">
        <v>424</v>
      </c>
      <c r="AN610" s="209">
        <f>AF610*AJ610</f>
        <v>1.15</v>
      </c>
      <c r="AO610" s="209"/>
      <c r="AP610" s="209"/>
      <c r="AQ610" s="45" t="s">
        <v>434</v>
      </c>
      <c r="AR610" s="45"/>
      <c r="AS610" s="45"/>
      <c r="AT610" s="45"/>
      <c r="AU610" s="56"/>
    </row>
    <row r="611" spans="1:47" ht="12.75">
      <c r="A611" s="145"/>
      <c r="B611" s="1"/>
      <c r="E611" s="57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56"/>
    </row>
    <row r="612" spans="1:47" ht="15.75">
      <c r="A612" s="145"/>
      <c r="B612" s="1"/>
      <c r="E612" s="57"/>
      <c r="F612" s="45" t="s">
        <v>547</v>
      </c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 t="s">
        <v>548</v>
      </c>
      <c r="Z612" s="45"/>
      <c r="AA612" s="45"/>
      <c r="AB612" s="45"/>
      <c r="AC612" s="45"/>
      <c r="AD612" s="45"/>
      <c r="AE612" s="45" t="s">
        <v>424</v>
      </c>
      <c r="AF612" s="45" t="s">
        <v>92</v>
      </c>
      <c r="AG612" s="226">
        <f>AM14</f>
        <v>400</v>
      </c>
      <c r="AH612" s="226"/>
      <c r="AI612" s="226"/>
      <c r="AJ612" s="45" t="s">
        <v>88</v>
      </c>
      <c r="AK612" s="226">
        <f>AM13</f>
        <v>600</v>
      </c>
      <c r="AL612" s="226"/>
      <c r="AM612" s="226"/>
      <c r="AN612" s="36" t="s">
        <v>74</v>
      </c>
      <c r="AO612" s="45">
        <f>AL607</f>
        <v>1</v>
      </c>
      <c r="AP612" s="45" t="s">
        <v>424</v>
      </c>
      <c r="AQ612" s="209">
        <f>(AG612+AK612)/AO612</f>
        <v>1000</v>
      </c>
      <c r="AR612" s="209"/>
      <c r="AS612" s="209"/>
      <c r="AT612" s="45" t="s">
        <v>425</v>
      </c>
      <c r="AU612" s="56"/>
    </row>
    <row r="613" spans="1:47" ht="12.75">
      <c r="A613" s="145"/>
      <c r="B613" s="1"/>
      <c r="E613" s="57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56"/>
    </row>
    <row r="614" spans="1:47" ht="15.75">
      <c r="A614" s="145"/>
      <c r="B614" s="39"/>
      <c r="E614" s="57"/>
      <c r="F614" s="45" t="s">
        <v>549</v>
      </c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 t="s">
        <v>550</v>
      </c>
      <c r="Z614" s="45"/>
      <c r="AA614" s="45"/>
      <c r="AB614" s="45"/>
      <c r="AC614" s="45"/>
      <c r="AD614" s="45"/>
      <c r="AE614" s="45" t="s">
        <v>424</v>
      </c>
      <c r="AF614" s="226">
        <f>AM13</f>
        <v>600</v>
      </c>
      <c r="AG614" s="226"/>
      <c r="AH614" s="226"/>
      <c r="AI614" s="142" t="s">
        <v>91</v>
      </c>
      <c r="AJ614" s="45">
        <f>AL607</f>
        <v>1</v>
      </c>
      <c r="AK614" s="45"/>
      <c r="AL614" s="45" t="s">
        <v>424</v>
      </c>
      <c r="AM614" s="209">
        <f>AF614/AL607</f>
        <v>600</v>
      </c>
      <c r="AN614" s="209"/>
      <c r="AO614" s="209"/>
      <c r="AP614" s="45" t="s">
        <v>425</v>
      </c>
      <c r="AQ614" s="45"/>
      <c r="AR614" s="45"/>
      <c r="AS614" s="45"/>
      <c r="AT614" s="45"/>
      <c r="AU614" s="56"/>
    </row>
    <row r="615" spans="1:47" ht="12.75">
      <c r="A615" s="145"/>
      <c r="E615" s="58"/>
      <c r="F615" s="46"/>
      <c r="G615" s="46"/>
      <c r="H615" s="13"/>
      <c r="I615" s="13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5"/>
      <c r="AR615" s="45"/>
      <c r="AS615" s="45"/>
      <c r="AT615" s="45"/>
      <c r="AU615" s="56"/>
    </row>
    <row r="616" spans="1:50" ht="15.75">
      <c r="A616" s="145"/>
      <c r="AQ616" s="312" t="s">
        <v>625</v>
      </c>
      <c r="AR616" s="312"/>
      <c r="AS616" s="312"/>
      <c r="AT616" s="312"/>
      <c r="AU616" s="312"/>
      <c r="AV616" s="312"/>
      <c r="AW616" s="312"/>
      <c r="AX616" s="312"/>
    </row>
    <row r="617" ht="12.75">
      <c r="A617" s="145"/>
    </row>
    <row r="618" spans="1:35" ht="12.75">
      <c r="A618" s="145"/>
      <c r="C618" s="200" t="s">
        <v>552</v>
      </c>
      <c r="D618" s="201"/>
      <c r="E618" s="201"/>
      <c r="F618" s="201"/>
      <c r="G618" s="201"/>
      <c r="H618" s="148"/>
      <c r="I618" s="148"/>
      <c r="J618" s="201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10"/>
      <c r="AH618" s="10"/>
      <c r="AI618" s="10"/>
    </row>
    <row r="619" ht="12.75">
      <c r="A619" s="145"/>
    </row>
    <row r="620" ht="12.75">
      <c r="A620" s="145"/>
    </row>
    <row r="621" ht="12.75">
      <c r="A621" s="145"/>
    </row>
    <row r="622" ht="12.75">
      <c r="A622" s="145"/>
    </row>
    <row r="623" ht="12.75">
      <c r="A623" s="145"/>
    </row>
    <row r="624" ht="12.75">
      <c r="A624" s="145"/>
    </row>
    <row r="625" ht="12.75">
      <c r="A625" s="145"/>
    </row>
    <row r="626" ht="12.75">
      <c r="A626" s="145"/>
    </row>
    <row r="627" ht="12.75">
      <c r="A627" s="145"/>
    </row>
    <row r="628" ht="12.75">
      <c r="A628" s="145"/>
    </row>
    <row r="629" ht="12.75">
      <c r="A629" s="145"/>
    </row>
    <row r="630" ht="12.75">
      <c r="A630" s="145"/>
    </row>
    <row r="631" ht="12.75">
      <c r="A631" s="145"/>
    </row>
    <row r="632" ht="12.75">
      <c r="A632" s="145"/>
    </row>
    <row r="633" spans="1:46" ht="16.5">
      <c r="A633" s="145"/>
      <c r="D633" s="2" t="s">
        <v>553</v>
      </c>
      <c r="G633" s="199">
        <v>5</v>
      </c>
      <c r="H633" s="210" t="s">
        <v>426</v>
      </c>
      <c r="I633" s="210"/>
      <c r="P633" s="210" t="s">
        <v>555</v>
      </c>
      <c r="Q633" s="210"/>
      <c r="R633" s="210"/>
      <c r="S633" s="312">
        <v>355</v>
      </c>
      <c r="T633" s="312"/>
      <c r="U633" s="312"/>
      <c r="V633" s="2" t="s">
        <v>556</v>
      </c>
      <c r="AD633" s="2" t="s">
        <v>559</v>
      </c>
      <c r="AI633" s="2" t="s">
        <v>424</v>
      </c>
      <c r="AJ633" s="210">
        <v>4.25</v>
      </c>
      <c r="AK633" s="210"/>
      <c r="AL633" s="210"/>
      <c r="AM633" s="2" t="s">
        <v>100</v>
      </c>
      <c r="AN633" s="210">
        <v>8.7</v>
      </c>
      <c r="AO633" s="210"/>
      <c r="AP633" s="2" t="s">
        <v>424</v>
      </c>
      <c r="AQ633" s="253">
        <f>AJ633*AN633</f>
        <v>36.974999999999994</v>
      </c>
      <c r="AR633" s="253"/>
      <c r="AS633" s="253"/>
      <c r="AT633" s="2" t="s">
        <v>425</v>
      </c>
    </row>
    <row r="634" spans="1:45" ht="15.75">
      <c r="A634" s="145"/>
      <c r="D634" s="2" t="s">
        <v>563</v>
      </c>
      <c r="F634" s="2" t="s">
        <v>424</v>
      </c>
      <c r="G634" s="312">
        <v>70</v>
      </c>
      <c r="H634" s="312"/>
      <c r="I634" s="210" t="s">
        <v>426</v>
      </c>
      <c r="J634" s="210"/>
      <c r="P634" s="5"/>
      <c r="Q634" s="5"/>
      <c r="R634" s="5"/>
      <c r="S634" s="5"/>
      <c r="T634" s="5"/>
      <c r="U634" s="5"/>
      <c r="AJ634" s="5"/>
      <c r="AK634" s="5"/>
      <c r="AL634" s="5"/>
      <c r="AN634" s="5"/>
      <c r="AO634" s="5"/>
      <c r="AQ634" s="128"/>
      <c r="AR634" s="128"/>
      <c r="AS634" s="128"/>
    </row>
    <row r="635" spans="1:45" ht="16.5">
      <c r="A635" s="145"/>
      <c r="D635" s="2" t="s">
        <v>561</v>
      </c>
      <c r="F635" s="24" t="s">
        <v>562</v>
      </c>
      <c r="J635" s="2" t="s">
        <v>424</v>
      </c>
      <c r="K635" s="220">
        <f>3.14*G634^2/4</f>
        <v>3846.5</v>
      </c>
      <c r="L635" s="220"/>
      <c r="M635" s="220"/>
      <c r="N635" s="220"/>
      <c r="O635" s="2" t="s">
        <v>370</v>
      </c>
      <c r="P635" s="5"/>
      <c r="Q635" s="5"/>
      <c r="R635" s="5"/>
      <c r="S635" s="5"/>
      <c r="T635" s="5"/>
      <c r="U635" s="5"/>
      <c r="AC635" s="210" t="s">
        <v>564</v>
      </c>
      <c r="AD635" s="210"/>
      <c r="AE635" s="2" t="s">
        <v>424</v>
      </c>
      <c r="AF635" s="157">
        <v>1</v>
      </c>
      <c r="AJ635" s="5"/>
      <c r="AK635" s="2" t="s">
        <v>571</v>
      </c>
      <c r="AL635" s="5" t="s">
        <v>424</v>
      </c>
      <c r="AM635" s="213">
        <v>0.5</v>
      </c>
      <c r="AN635" s="213"/>
      <c r="AO635" s="5"/>
      <c r="AQ635" s="128"/>
      <c r="AR635" s="128"/>
      <c r="AS635" s="128"/>
    </row>
    <row r="636" ht="12.75">
      <c r="A636" s="145"/>
    </row>
    <row r="637" spans="1:47" ht="15.75">
      <c r="A637" s="145"/>
      <c r="D637" s="2" t="s">
        <v>557</v>
      </c>
      <c r="G637" s="2" t="s">
        <v>558</v>
      </c>
      <c r="U637" s="2" t="s">
        <v>424</v>
      </c>
      <c r="V637" s="2" t="s">
        <v>560</v>
      </c>
      <c r="AL637" s="215">
        <f>K635</f>
        <v>3846.5</v>
      </c>
      <c r="AM637" s="215"/>
      <c r="AN637" s="215"/>
      <c r="AO637" s="215"/>
      <c r="AP637" s="2" t="s">
        <v>424</v>
      </c>
      <c r="AQ637" s="253">
        <f>10*9.81*(AF635*(AM13+AM14)+AQ633+10)/K635</f>
        <v>26.7017411932926</v>
      </c>
      <c r="AR637" s="253"/>
      <c r="AS637" s="253"/>
      <c r="AT637" s="253"/>
      <c r="AU637" s="2" t="s">
        <v>565</v>
      </c>
    </row>
    <row r="638" ht="12.75">
      <c r="A638" s="145"/>
    </row>
    <row r="639" spans="1:4" ht="12.75">
      <c r="A639" s="145"/>
      <c r="D639" s="2" t="s">
        <v>554</v>
      </c>
    </row>
    <row r="640" ht="12.75">
      <c r="A640" s="145"/>
    </row>
    <row r="641" spans="1:30" ht="14.25">
      <c r="A641" s="145"/>
      <c r="I641" s="2"/>
      <c r="K641" s="2" t="s">
        <v>566</v>
      </c>
      <c r="R641" s="2" t="s">
        <v>569</v>
      </c>
      <c r="W641" s="210">
        <f>2.3*1.7*AQ637</f>
        <v>104.40380806577406</v>
      </c>
      <c r="X641" s="210"/>
      <c r="Y641" s="210"/>
      <c r="Z641" s="210"/>
      <c r="AA641" s="5"/>
      <c r="AC641" s="210">
        <f>G634</f>
        <v>70</v>
      </c>
      <c r="AD641" s="210"/>
    </row>
    <row r="642" spans="1:43" ht="15.75">
      <c r="A642" s="145"/>
      <c r="I642" s="2"/>
      <c r="K642" s="74" t="s">
        <v>567</v>
      </c>
      <c r="Q642" s="2" t="s">
        <v>90</v>
      </c>
      <c r="R642" s="74" t="s">
        <v>570</v>
      </c>
      <c r="S642" s="2" t="s">
        <v>88</v>
      </c>
      <c r="T642" s="2" t="s">
        <v>571</v>
      </c>
      <c r="V642" s="2" t="s">
        <v>424</v>
      </c>
      <c r="W642" s="74" t="s">
        <v>572</v>
      </c>
      <c r="AB642" s="2" t="s">
        <v>100</v>
      </c>
      <c r="AC642" s="74" t="s">
        <v>474</v>
      </c>
      <c r="AE642" s="2" t="s">
        <v>88</v>
      </c>
      <c r="AF642" s="210">
        <f>AM635</f>
        <v>0.5</v>
      </c>
      <c r="AG642" s="210"/>
      <c r="AH642" s="2" t="s">
        <v>424</v>
      </c>
      <c r="AI642" s="209">
        <f>(W641/V643/Z643)*(AC641/AC643)+AF642</f>
        <v>1.5293333189583358</v>
      </c>
      <c r="AJ642" s="209"/>
      <c r="AK642" s="209"/>
      <c r="AL642" s="145" t="s">
        <v>426</v>
      </c>
      <c r="AM642" s="145"/>
      <c r="AO642" s="28" t="s">
        <v>458</v>
      </c>
      <c r="AP642" s="197">
        <f>G633</f>
        <v>5</v>
      </c>
      <c r="AQ642" s="2" t="s">
        <v>426</v>
      </c>
    </row>
    <row r="643" spans="1:30" ht="14.25">
      <c r="A643" s="145"/>
      <c r="I643" s="2"/>
      <c r="M643" s="4" t="s">
        <v>568</v>
      </c>
      <c r="N643" s="4"/>
      <c r="O643" s="4"/>
      <c r="R643" s="2">
        <v>2</v>
      </c>
      <c r="V643" s="210">
        <f>S633</f>
        <v>355</v>
      </c>
      <c r="W643" s="210"/>
      <c r="X643" s="210"/>
      <c r="Y643" s="2" t="s">
        <v>90</v>
      </c>
      <c r="Z643" s="210">
        <v>10</v>
      </c>
      <c r="AA643" s="210"/>
      <c r="AC643" s="210">
        <v>2</v>
      </c>
      <c r="AD643" s="210"/>
    </row>
    <row r="644" spans="1:34" ht="12.75">
      <c r="A644" s="145"/>
      <c r="AH644" s="2" t="s">
        <v>573</v>
      </c>
    </row>
    <row r="645" ht="12.75">
      <c r="A645" s="145"/>
    </row>
    <row r="646" ht="12.75">
      <c r="A646" s="145"/>
    </row>
    <row r="649" spans="3:26" ht="12.75">
      <c r="C649" s="200" t="s">
        <v>574</v>
      </c>
      <c r="D649" s="149"/>
      <c r="E649" s="149"/>
      <c r="F649" s="149"/>
      <c r="G649" s="149"/>
      <c r="H649" s="150"/>
      <c r="I649" s="150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49"/>
      <c r="U649" s="149"/>
      <c r="V649" s="149"/>
      <c r="W649" s="149"/>
      <c r="X649" s="149"/>
      <c r="Y649" s="149"/>
      <c r="Z649" s="149"/>
    </row>
    <row r="651" spans="2:31" ht="12.75">
      <c r="B651" s="2" t="s">
        <v>575</v>
      </c>
      <c r="E651" s="5"/>
      <c r="F651" s="5"/>
      <c r="H651" s="2"/>
      <c r="I651" s="2"/>
      <c r="Y651" s="2" t="s">
        <v>423</v>
      </c>
      <c r="Z651" s="2" t="s">
        <v>597</v>
      </c>
      <c r="AC651" s="2">
        <v>1</v>
      </c>
      <c r="AD651" s="2" t="s">
        <v>423</v>
      </c>
      <c r="AE651" s="2">
        <v>1</v>
      </c>
    </row>
    <row r="652" spans="2:29" ht="12.75">
      <c r="B652" s="2" t="s">
        <v>576</v>
      </c>
      <c r="E652" s="5"/>
      <c r="F652" s="5"/>
      <c r="H652" s="2"/>
      <c r="I652" s="2"/>
      <c r="V652" s="2" t="s">
        <v>133</v>
      </c>
      <c r="Y652" s="2" t="s">
        <v>423</v>
      </c>
      <c r="Z652" s="213">
        <v>3900</v>
      </c>
      <c r="AA652" s="213"/>
      <c r="AB652" s="213"/>
      <c r="AC652" s="2" t="s">
        <v>426</v>
      </c>
    </row>
    <row r="653" spans="2:31" ht="12.75">
      <c r="B653" s="2" t="s">
        <v>577</v>
      </c>
      <c r="E653" s="5"/>
      <c r="F653" s="5"/>
      <c r="H653" s="2"/>
      <c r="I653" s="2"/>
      <c r="Y653" s="2" t="s">
        <v>423</v>
      </c>
      <c r="Z653" s="190">
        <v>1</v>
      </c>
      <c r="AA653" s="145"/>
      <c r="AB653" s="145"/>
      <c r="AC653" s="145" t="s">
        <v>578</v>
      </c>
      <c r="AD653" s="145"/>
      <c r="AE653" s="145"/>
    </row>
    <row r="654" spans="2:30" ht="12.75">
      <c r="B654" s="2" t="s">
        <v>579</v>
      </c>
      <c r="E654" s="5"/>
      <c r="F654" s="5"/>
      <c r="H654" s="2"/>
      <c r="I654" s="2"/>
      <c r="V654" s="2" t="s">
        <v>402</v>
      </c>
      <c r="Y654" s="2" t="s">
        <v>423</v>
      </c>
      <c r="Z654" s="213">
        <f>AM13</f>
        <v>600</v>
      </c>
      <c r="AA654" s="213"/>
      <c r="AB654" s="213"/>
      <c r="AC654" s="145" t="s">
        <v>425</v>
      </c>
      <c r="AD654" s="145"/>
    </row>
    <row r="655" spans="2:30" ht="14.25">
      <c r="B655" s="2" t="s">
        <v>580</v>
      </c>
      <c r="E655" s="5"/>
      <c r="F655" s="5"/>
      <c r="H655" s="2"/>
      <c r="I655" s="2"/>
      <c r="V655" s="2" t="s">
        <v>581</v>
      </c>
      <c r="Y655" s="2" t="s">
        <v>423</v>
      </c>
      <c r="Z655" s="213">
        <v>1</v>
      </c>
      <c r="AA655" s="213"/>
      <c r="AB655" s="213"/>
      <c r="AC655" s="145" t="s">
        <v>425</v>
      </c>
      <c r="AD655" s="145"/>
    </row>
    <row r="656" spans="2:29" ht="12.75">
      <c r="B656" s="2" t="s">
        <v>582</v>
      </c>
      <c r="E656" s="5"/>
      <c r="F656" s="5"/>
      <c r="H656" s="2"/>
      <c r="I656" s="2"/>
      <c r="Y656" s="2" t="s">
        <v>423</v>
      </c>
      <c r="Z656" s="213">
        <v>70</v>
      </c>
      <c r="AA656" s="213"/>
      <c r="AB656" s="149" t="s">
        <v>100</v>
      </c>
      <c r="AC656" s="157">
        <v>5</v>
      </c>
    </row>
    <row r="657" spans="5:9" ht="12.75">
      <c r="E657" s="5"/>
      <c r="F657" s="5"/>
      <c r="H657" s="2"/>
      <c r="I657" s="2"/>
    </row>
    <row r="658" spans="2:25" ht="14.25">
      <c r="B658" s="2" t="s">
        <v>583</v>
      </c>
      <c r="E658" s="5"/>
      <c r="F658" s="5"/>
      <c r="H658" s="2"/>
      <c r="I658" s="2"/>
      <c r="V658" s="2" t="s">
        <v>584</v>
      </c>
      <c r="Y658" s="2" t="s">
        <v>423</v>
      </c>
    </row>
    <row r="659" spans="2:29" ht="15.75">
      <c r="B659" s="2" t="s">
        <v>585</v>
      </c>
      <c r="E659" s="5"/>
      <c r="F659" s="5"/>
      <c r="H659" s="2"/>
      <c r="I659" s="2"/>
      <c r="V659" s="2" t="s">
        <v>587</v>
      </c>
      <c r="Y659" s="2" t="s">
        <v>423</v>
      </c>
      <c r="Z659" s="312">
        <f>4250+50</f>
        <v>4300</v>
      </c>
      <c r="AA659" s="312"/>
      <c r="AB659" s="312"/>
      <c r="AC659" s="2" t="s">
        <v>426</v>
      </c>
    </row>
    <row r="660" spans="2:39" ht="16.5">
      <c r="B660" s="2" t="s">
        <v>601</v>
      </c>
      <c r="E660" s="5"/>
      <c r="F660" s="5"/>
      <c r="H660" s="2"/>
      <c r="I660" s="2"/>
      <c r="V660" s="2" t="s">
        <v>602</v>
      </c>
      <c r="Y660" s="2" t="s">
        <v>423</v>
      </c>
      <c r="Z660" s="208" t="s">
        <v>612</v>
      </c>
      <c r="AA660" s="208"/>
      <c r="AB660" s="208"/>
      <c r="AC660" s="208"/>
      <c r="AD660" s="208"/>
      <c r="AE660" s="208"/>
      <c r="AF660" s="208"/>
      <c r="AG660" s="208"/>
      <c r="AH660" s="2" t="s">
        <v>424</v>
      </c>
      <c r="AI660" s="209">
        <f>3.14*(Z656^2-(Z656-AC656-AC656)^2)/4</f>
        <v>1020.5</v>
      </c>
      <c r="AJ660" s="209"/>
      <c r="AK660" s="209"/>
      <c r="AL660" s="209"/>
      <c r="AM660" s="2" t="s">
        <v>370</v>
      </c>
    </row>
    <row r="661" spans="2:29" ht="15.75">
      <c r="B661" s="2" t="s">
        <v>588</v>
      </c>
      <c r="E661" s="5"/>
      <c r="F661" s="5"/>
      <c r="H661" s="2"/>
      <c r="I661" s="2"/>
      <c r="V661" s="2" t="s">
        <v>586</v>
      </c>
      <c r="Y661" s="2" t="s">
        <v>423</v>
      </c>
      <c r="Z661" s="209">
        <f>Z659*8.01/1000+5</f>
        <v>39.443</v>
      </c>
      <c r="AA661" s="209"/>
      <c r="AB661" s="209"/>
      <c r="AC661" s="2" t="s">
        <v>87</v>
      </c>
    </row>
    <row r="662" spans="2:29" ht="15.75">
      <c r="B662" s="2" t="s">
        <v>598</v>
      </c>
      <c r="E662" s="5"/>
      <c r="F662" s="5"/>
      <c r="H662" s="2"/>
      <c r="I662" s="2"/>
      <c r="V662" s="2" t="s">
        <v>599</v>
      </c>
      <c r="Y662" s="2" t="s">
        <v>423</v>
      </c>
      <c r="Z662" s="211">
        <v>5</v>
      </c>
      <c r="AA662" s="211"/>
      <c r="AB662" s="5"/>
      <c r="AC662" s="2" t="s">
        <v>425</v>
      </c>
    </row>
    <row r="663" spans="2:29" ht="14.25">
      <c r="B663" s="2" t="s">
        <v>589</v>
      </c>
      <c r="E663" s="5"/>
      <c r="F663" s="5"/>
      <c r="H663" s="2"/>
      <c r="I663" s="2"/>
      <c r="V663" s="2" t="s">
        <v>590</v>
      </c>
      <c r="Y663" s="2" t="s">
        <v>423</v>
      </c>
      <c r="Z663" s="210" t="s">
        <v>596</v>
      </c>
      <c r="AA663" s="210"/>
      <c r="AB663" s="4" t="s">
        <v>424</v>
      </c>
      <c r="AC663" s="2" t="s">
        <v>600</v>
      </c>
    </row>
    <row r="664" spans="5:51" ht="12.75">
      <c r="E664" s="5"/>
      <c r="F664" s="5"/>
      <c r="H664" s="2"/>
      <c r="I664" s="2"/>
      <c r="Z664" s="5" t="s">
        <v>424</v>
      </c>
      <c r="AA664" s="210">
        <v>1.4</v>
      </c>
      <c r="AB664" s="210"/>
      <c r="AC664" s="2" t="s">
        <v>100</v>
      </c>
      <c r="AD664" s="210">
        <v>9.81</v>
      </c>
      <c r="AE664" s="210"/>
      <c r="AF664" s="210"/>
      <c r="AG664" s="2" t="s">
        <v>92</v>
      </c>
      <c r="AH664" s="2">
        <f>AC651</f>
        <v>1</v>
      </c>
      <c r="AI664" s="2" t="s">
        <v>100</v>
      </c>
      <c r="AJ664" s="2" t="s">
        <v>92</v>
      </c>
      <c r="AK664" s="210">
        <f>AM13</f>
        <v>600</v>
      </c>
      <c r="AL664" s="210"/>
      <c r="AM664" s="4" t="s">
        <v>88</v>
      </c>
      <c r="AN664" s="210">
        <f>AM14</f>
        <v>400</v>
      </c>
      <c r="AO664" s="210"/>
      <c r="AP664" s="5" t="s">
        <v>31</v>
      </c>
      <c r="AQ664" s="210">
        <v>0.64</v>
      </c>
      <c r="AR664" s="210"/>
      <c r="AS664" s="2" t="s">
        <v>100</v>
      </c>
      <c r="AT664" s="210">
        <f>Z661</f>
        <v>39.443</v>
      </c>
      <c r="AU664" s="210"/>
      <c r="AV664" s="2" t="s">
        <v>88</v>
      </c>
      <c r="AW664" s="210">
        <f>Z662</f>
        <v>5</v>
      </c>
      <c r="AX664" s="210"/>
      <c r="AY664" s="2" t="s">
        <v>93</v>
      </c>
    </row>
    <row r="665" spans="5:50" ht="15.75">
      <c r="E665" s="5"/>
      <c r="F665" s="5"/>
      <c r="H665" s="2"/>
      <c r="I665" s="2"/>
      <c r="Z665" s="5" t="s">
        <v>424</v>
      </c>
      <c r="AA665" s="212">
        <f>AA664*AD664*(AH664*(AK664+AN664)+(AQ664*AT664)+AW664)</f>
        <v>14149.364503679999</v>
      </c>
      <c r="AB665" s="212"/>
      <c r="AC665" s="212"/>
      <c r="AD665" s="212"/>
      <c r="AE665" s="60"/>
      <c r="AF665" s="5" t="s">
        <v>113</v>
      </c>
      <c r="AK665" s="5"/>
      <c r="AL665" s="5"/>
      <c r="AM665" s="4"/>
      <c r="AN665" s="5"/>
      <c r="AO665" s="5"/>
      <c r="AP665" s="5"/>
      <c r="AQ665" s="5"/>
      <c r="AR665" s="5"/>
      <c r="AT665" s="5"/>
      <c r="AU665" s="5"/>
      <c r="AW665" s="5"/>
      <c r="AX665" s="5"/>
    </row>
    <row r="666" spans="2:41" ht="16.5">
      <c r="B666" s="2" t="s">
        <v>591</v>
      </c>
      <c r="E666" s="5"/>
      <c r="F666" s="5"/>
      <c r="H666" s="2"/>
      <c r="I666" s="2"/>
      <c r="V666" s="2" t="s">
        <v>610</v>
      </c>
      <c r="Y666" s="2" t="s">
        <v>423</v>
      </c>
      <c r="Z666" s="208" t="s">
        <v>613</v>
      </c>
      <c r="AA666" s="208"/>
      <c r="AB666" s="208"/>
      <c r="AC666" s="208"/>
      <c r="AD666" s="208"/>
      <c r="AE666" s="208"/>
      <c r="AF666" s="208"/>
      <c r="AG666" s="208"/>
      <c r="AI666" s="2" t="s">
        <v>424</v>
      </c>
      <c r="AJ666" s="205">
        <v>542140</v>
      </c>
      <c r="AK666" s="205"/>
      <c r="AL666" s="205"/>
      <c r="AM666" s="205"/>
      <c r="AN666" s="205"/>
      <c r="AO666" s="2" t="s">
        <v>57</v>
      </c>
    </row>
    <row r="667" spans="2:36" ht="16.5">
      <c r="B667" s="2" t="s">
        <v>592</v>
      </c>
      <c r="E667" s="5"/>
      <c r="F667" s="5"/>
      <c r="H667" s="2"/>
      <c r="I667" s="2"/>
      <c r="V667" s="2" t="s">
        <v>593</v>
      </c>
      <c r="Y667" s="2" t="s">
        <v>423</v>
      </c>
      <c r="Z667" s="210" t="s">
        <v>611</v>
      </c>
      <c r="AA667" s="210"/>
      <c r="AB667" s="210"/>
      <c r="AC667" s="210"/>
      <c r="AD667" s="210"/>
      <c r="AE667" s="2" t="s">
        <v>424</v>
      </c>
      <c r="AF667" s="209">
        <f>(AJ666/AI660)^0.5</f>
        <v>23.048847857433568</v>
      </c>
      <c r="AG667" s="209"/>
      <c r="AH667" s="209"/>
      <c r="AI667" s="209"/>
      <c r="AJ667" s="2" t="s">
        <v>426</v>
      </c>
    </row>
    <row r="668" spans="2:35" ht="15.75">
      <c r="B668" s="2" t="s">
        <v>595</v>
      </c>
      <c r="E668" s="5"/>
      <c r="F668" s="5"/>
      <c r="H668" s="2"/>
      <c r="I668" s="2"/>
      <c r="V668" s="24" t="s">
        <v>594</v>
      </c>
      <c r="Y668" s="2" t="s">
        <v>423</v>
      </c>
      <c r="Z668" s="210" t="s">
        <v>603</v>
      </c>
      <c r="AA668" s="210"/>
      <c r="AB668" s="210"/>
      <c r="AC668" s="210"/>
      <c r="AE668" s="2" t="s">
        <v>424</v>
      </c>
      <c r="AF668" s="209">
        <f>Z659/AF667</f>
        <v>186.5603012609236</v>
      </c>
      <c r="AG668" s="209"/>
      <c r="AH668" s="209"/>
      <c r="AI668" s="209"/>
    </row>
    <row r="669" spans="5:35" ht="16.5">
      <c r="E669" s="5"/>
      <c r="F669" s="5"/>
      <c r="H669" s="2"/>
      <c r="I669" s="2"/>
      <c r="V669" s="24"/>
      <c r="Z669" s="208" t="s">
        <v>606</v>
      </c>
      <c r="AA669" s="208"/>
      <c r="AB669" s="208"/>
      <c r="AC669" s="208"/>
      <c r="AD669" s="208"/>
      <c r="AE669" s="208"/>
      <c r="AF669" s="208"/>
      <c r="AG669" s="5"/>
      <c r="AH669" s="5"/>
      <c r="AI669" s="5"/>
    </row>
    <row r="670" spans="2:39" ht="15.75">
      <c r="B670" s="2" t="s">
        <v>604</v>
      </c>
      <c r="V670" s="2" t="s">
        <v>605</v>
      </c>
      <c r="Y670" s="2" t="s">
        <v>423</v>
      </c>
      <c r="Z670" s="74" t="s">
        <v>567</v>
      </c>
      <c r="AG670" s="5" t="s">
        <v>424</v>
      </c>
      <c r="AH670" s="205">
        <f>((3.14^2)*(2.1*10^5)*AJ666)/((2*(Z659^2)))</f>
        <v>30354.503630070307</v>
      </c>
      <c r="AI670" s="205"/>
      <c r="AJ670" s="205"/>
      <c r="AK670" s="205"/>
      <c r="AL670" s="205"/>
      <c r="AM670" s="2" t="s">
        <v>113</v>
      </c>
    </row>
    <row r="671" spans="26:35" ht="16.5">
      <c r="Z671" s="24"/>
      <c r="AA671" s="210" t="s">
        <v>607</v>
      </c>
      <c r="AB671" s="210"/>
      <c r="AC671" s="210"/>
      <c r="AD671" s="210"/>
      <c r="AG671" s="5"/>
      <c r="AH671" s="5"/>
      <c r="AI671" s="5"/>
    </row>
    <row r="672" spans="26:35" ht="12.75">
      <c r="Z672" s="24"/>
      <c r="AG672" s="5"/>
      <c r="AH672" s="5"/>
      <c r="AI672" s="5"/>
    </row>
    <row r="673" spans="8:51" ht="15.75">
      <c r="H673" s="2"/>
      <c r="I673" s="2"/>
      <c r="V673" s="5"/>
      <c r="W673" s="5"/>
      <c r="Z673" s="145" t="s">
        <v>590</v>
      </c>
      <c r="AA673" s="145"/>
      <c r="AB673" s="145" t="s">
        <v>424</v>
      </c>
      <c r="AC673" s="206">
        <f>AA665</f>
        <v>14149.364503679999</v>
      </c>
      <c r="AD673" s="207"/>
      <c r="AE673" s="207"/>
      <c r="AF673" s="207"/>
      <c r="AG673" s="145" t="s">
        <v>113</v>
      </c>
      <c r="AH673" s="145"/>
      <c r="AI673" s="191" t="s">
        <v>458</v>
      </c>
      <c r="AJ673" s="145"/>
      <c r="AK673" s="145" t="s">
        <v>608</v>
      </c>
      <c r="AL673" s="145"/>
      <c r="AM673" s="145" t="s">
        <v>424</v>
      </c>
      <c r="AN673" s="205">
        <f>AH670</f>
        <v>30354.503630070307</v>
      </c>
      <c r="AO673" s="205"/>
      <c r="AP673" s="205"/>
      <c r="AQ673" s="205"/>
      <c r="AR673" s="205"/>
      <c r="AS673" s="448" t="s">
        <v>113</v>
      </c>
      <c r="AT673" s="449" t="s">
        <v>629</v>
      </c>
      <c r="AU673" s="450"/>
      <c r="AV673" s="450"/>
      <c r="AW673" s="450"/>
      <c r="AX673" s="450"/>
      <c r="AY673" s="450"/>
    </row>
    <row r="674" ht="12.75">
      <c r="AE674" s="2" t="s">
        <v>609</v>
      </c>
    </row>
    <row r="677" spans="43:50" ht="15.75">
      <c r="AQ677" s="312" t="s">
        <v>626</v>
      </c>
      <c r="AR677" s="312"/>
      <c r="AS677" s="312"/>
      <c r="AT677" s="312"/>
      <c r="AU677" s="312"/>
      <c r="AV677" s="312"/>
      <c r="AW677" s="312"/>
      <c r="AX677" s="312"/>
    </row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42" spans="43:50" ht="15.75">
      <c r="AQ742" s="312" t="s">
        <v>627</v>
      </c>
      <c r="AR742" s="312"/>
      <c r="AS742" s="312"/>
      <c r="AT742" s="312"/>
      <c r="AU742" s="312"/>
      <c r="AV742" s="312"/>
      <c r="AW742" s="312"/>
      <c r="AX742" s="312"/>
    </row>
  </sheetData>
  <sheetProtection/>
  <mergeCells count="565">
    <mergeCell ref="AT673:AY673"/>
    <mergeCell ref="AQ493:AX493"/>
    <mergeCell ref="AQ552:AX552"/>
    <mergeCell ref="AQ616:AX616"/>
    <mergeCell ref="AQ677:AX677"/>
    <mergeCell ref="AQ742:AX742"/>
    <mergeCell ref="AP60:AW60"/>
    <mergeCell ref="AQ372:AX372"/>
    <mergeCell ref="AQ438:AX438"/>
    <mergeCell ref="AS421:AW421"/>
    <mergeCell ref="AT163:AW163"/>
    <mergeCell ref="A3:AW3"/>
    <mergeCell ref="AQ434:AX434"/>
    <mergeCell ref="B62:AV62"/>
    <mergeCell ref="AQ59:AX59"/>
    <mergeCell ref="AQ122:AX122"/>
    <mergeCell ref="AQ185:AX185"/>
    <mergeCell ref="AQ246:AX246"/>
    <mergeCell ref="AQ308:AX308"/>
    <mergeCell ref="B35:AI35"/>
    <mergeCell ref="B36:AI36"/>
    <mergeCell ref="B39:AK39"/>
    <mergeCell ref="AT34:AW39"/>
    <mergeCell ref="AP34:AQ39"/>
    <mergeCell ref="B21:AI21"/>
    <mergeCell ref="B22:AJ22"/>
    <mergeCell ref="B23:AJ23"/>
    <mergeCell ref="B24:AJ24"/>
    <mergeCell ref="B25:AJ25"/>
    <mergeCell ref="B15:AI15"/>
    <mergeCell ref="B16:AI16"/>
    <mergeCell ref="B18:AI18"/>
    <mergeCell ref="B19:AI19"/>
    <mergeCell ref="B37:AI37"/>
    <mergeCell ref="B38:AI38"/>
    <mergeCell ref="AT18:AW28"/>
    <mergeCell ref="B27:AJ27"/>
    <mergeCell ref="B28:AJ28"/>
    <mergeCell ref="B29:AJ29"/>
    <mergeCell ref="B30:AJ30"/>
    <mergeCell ref="AP22:AQ28"/>
    <mergeCell ref="AN29:AW30"/>
    <mergeCell ref="AN24:AO26"/>
    <mergeCell ref="AJ18:AK18"/>
    <mergeCell ref="B26:AJ26"/>
    <mergeCell ref="A10:AW10"/>
    <mergeCell ref="A11:AW11"/>
    <mergeCell ref="A12:AW12"/>
    <mergeCell ref="AT13:AW16"/>
    <mergeCell ref="AJ13:AK13"/>
    <mergeCell ref="AJ14:AK14"/>
    <mergeCell ref="AJ15:AK15"/>
    <mergeCell ref="AJ16:AK16"/>
    <mergeCell ref="B13:AI13"/>
    <mergeCell ref="B14:AI14"/>
    <mergeCell ref="A5:I5"/>
    <mergeCell ref="A6:I6"/>
    <mergeCell ref="A7:I7"/>
    <mergeCell ref="A8:I8"/>
    <mergeCell ref="A9:I9"/>
    <mergeCell ref="J6:AW6"/>
    <mergeCell ref="J5:AW5"/>
    <mergeCell ref="J8:AW8"/>
    <mergeCell ref="J9:AW9"/>
    <mergeCell ref="P426:S426"/>
    <mergeCell ref="I543:K543"/>
    <mergeCell ref="AF610:AH610"/>
    <mergeCell ref="AE588:AF588"/>
    <mergeCell ref="AH580:AJ580"/>
    <mergeCell ref="AB573:AF573"/>
    <mergeCell ref="AH575:AL575"/>
    <mergeCell ref="L471:Q471"/>
    <mergeCell ref="Y475:AC475"/>
    <mergeCell ref="Z550:AA550"/>
    <mergeCell ref="AB424:AE424"/>
    <mergeCell ref="P421:R421"/>
    <mergeCell ref="W421:Y421"/>
    <mergeCell ref="AN421:AQ421"/>
    <mergeCell ref="T424:V424"/>
    <mergeCell ref="X424:Y424"/>
    <mergeCell ref="AL475:AN475"/>
    <mergeCell ref="AO406:AS406"/>
    <mergeCell ref="Q408:S408"/>
    <mergeCell ref="U408:W408"/>
    <mergeCell ref="O409:W409"/>
    <mergeCell ref="Z409:AE409"/>
    <mergeCell ref="R410:S410"/>
    <mergeCell ref="AL442:AN442"/>
    <mergeCell ref="AL469:AN469"/>
    <mergeCell ref="AA421:AC421"/>
    <mergeCell ref="AN325:AO325"/>
    <mergeCell ref="AO352:AS352"/>
    <mergeCell ref="B378:N378"/>
    <mergeCell ref="P380:S380"/>
    <mergeCell ref="Z380:AB380"/>
    <mergeCell ref="Z401:AA401"/>
    <mergeCell ref="J360:N360"/>
    <mergeCell ref="O355:W355"/>
    <mergeCell ref="W367:Y367"/>
    <mergeCell ref="AL367:AO367"/>
    <mergeCell ref="U262:W262"/>
    <mergeCell ref="AC262:AF262"/>
    <mergeCell ref="Z181:AC181"/>
    <mergeCell ref="B316:E316"/>
    <mergeCell ref="G316:AW316"/>
    <mergeCell ref="F317:J317"/>
    <mergeCell ref="K317:L317"/>
    <mergeCell ref="AF317:AH317"/>
    <mergeCell ref="B194:C194"/>
    <mergeCell ref="E194:G194"/>
    <mergeCell ref="I194:K194"/>
    <mergeCell ref="N194:Q194"/>
    <mergeCell ref="AT177:AW177"/>
    <mergeCell ref="O189:Q189"/>
    <mergeCell ref="AH185:AI185"/>
    <mergeCell ref="J188:M188"/>
    <mergeCell ref="I189:M189"/>
    <mergeCell ref="I190:M190"/>
    <mergeCell ref="AD185:AG185"/>
    <mergeCell ref="V176:X176"/>
    <mergeCell ref="B192:C192"/>
    <mergeCell ref="E192:F192"/>
    <mergeCell ref="H192:I192"/>
    <mergeCell ref="Q180:S180"/>
    <mergeCell ref="U180:W180"/>
    <mergeCell ref="O181:W181"/>
    <mergeCell ref="R182:S182"/>
    <mergeCell ref="H262:J262"/>
    <mergeCell ref="AF271:AJ271"/>
    <mergeCell ref="AI176:AK176"/>
    <mergeCell ref="AJ226:AL226"/>
    <mergeCell ref="V228:X228"/>
    <mergeCell ref="Q252:S252"/>
    <mergeCell ref="L262:N262"/>
    <mergeCell ref="S177:AR177"/>
    <mergeCell ref="X178:Y178"/>
    <mergeCell ref="AD178:AG178"/>
    <mergeCell ref="AG265:AH265"/>
    <mergeCell ref="Q267:S267"/>
    <mergeCell ref="X271:AD271"/>
    <mergeCell ref="X288:AD288"/>
    <mergeCell ref="J282:L282"/>
    <mergeCell ref="J284:K284"/>
    <mergeCell ref="Y272:AC272"/>
    <mergeCell ref="AF286:AJ286"/>
    <mergeCell ref="AA164:AB164"/>
    <mergeCell ref="AD164:AG164"/>
    <mergeCell ref="AJ160:AK160"/>
    <mergeCell ref="B136:N136"/>
    <mergeCell ref="AO215:AQ215"/>
    <mergeCell ref="Z167:AD167"/>
    <mergeCell ref="R168:S168"/>
    <mergeCell ref="AD170:AG170"/>
    <mergeCell ref="AM176:AO176"/>
    <mergeCell ref="AG206:AI206"/>
    <mergeCell ref="AN633:AO633"/>
    <mergeCell ref="AQ633:AS633"/>
    <mergeCell ref="B70:E70"/>
    <mergeCell ref="G70:AW70"/>
    <mergeCell ref="F71:J71"/>
    <mergeCell ref="K71:L71"/>
    <mergeCell ref="AF71:AH71"/>
    <mergeCell ref="B130:C130"/>
    <mergeCell ref="E130:F130"/>
    <mergeCell ref="H130:I130"/>
    <mergeCell ref="AM635:AN635"/>
    <mergeCell ref="B603:AX604"/>
    <mergeCell ref="AK612:AM612"/>
    <mergeCell ref="AQ612:AS612"/>
    <mergeCell ref="AF614:AH614"/>
    <mergeCell ref="AM614:AO614"/>
    <mergeCell ref="H633:I633"/>
    <mergeCell ref="P633:R633"/>
    <mergeCell ref="S633:U633"/>
    <mergeCell ref="AJ633:AL633"/>
    <mergeCell ref="AC643:AD643"/>
    <mergeCell ref="AF642:AG642"/>
    <mergeCell ref="V643:X643"/>
    <mergeCell ref="Z643:AA643"/>
    <mergeCell ref="AO601:AS601"/>
    <mergeCell ref="G634:H634"/>
    <mergeCell ref="I634:J634"/>
    <mergeCell ref="K635:N635"/>
    <mergeCell ref="AL637:AO637"/>
    <mergeCell ref="AQ637:AT637"/>
    <mergeCell ref="S292:W292"/>
    <mergeCell ref="I291:V291"/>
    <mergeCell ref="AK252:AN252"/>
    <mergeCell ref="AN257:AQ257"/>
    <mergeCell ref="AD229:AG229"/>
    <mergeCell ref="U252:W252"/>
    <mergeCell ref="AC252:AE252"/>
    <mergeCell ref="AF257:AH257"/>
    <mergeCell ref="I290:L290"/>
    <mergeCell ref="P262:S262"/>
    <mergeCell ref="W258:Z258"/>
    <mergeCell ref="Z105:AD105"/>
    <mergeCell ref="N132:Q132"/>
    <mergeCell ref="AN327:AO327"/>
    <mergeCell ref="AM13:AQ13"/>
    <mergeCell ref="B98:AI98"/>
    <mergeCell ref="AH108:AI108"/>
    <mergeCell ref="B132:C132"/>
    <mergeCell ref="I132:K132"/>
    <mergeCell ref="J292:K292"/>
    <mergeCell ref="AG612:AI612"/>
    <mergeCell ref="AI642:AK642"/>
    <mergeCell ref="T519:V519"/>
    <mergeCell ref="M515:O515"/>
    <mergeCell ref="Q515:S515"/>
    <mergeCell ref="U515:V515"/>
    <mergeCell ref="W641:Z641"/>
    <mergeCell ref="AC641:AD641"/>
    <mergeCell ref="AC635:AD635"/>
    <mergeCell ref="Z610:AB610"/>
    <mergeCell ref="M543:O543"/>
    <mergeCell ref="Q543:S543"/>
    <mergeCell ref="AK513:AM513"/>
    <mergeCell ref="E526:G526"/>
    <mergeCell ref="K375:N375"/>
    <mergeCell ref="Y463:AC463"/>
    <mergeCell ref="Y469:AC469"/>
    <mergeCell ref="AE469:AI469"/>
    <mergeCell ref="F406:G406"/>
    <mergeCell ref="AK507:AL507"/>
    <mergeCell ref="I513:K513"/>
    <mergeCell ref="AB513:AC513"/>
    <mergeCell ref="AF513:AH513"/>
    <mergeCell ref="W513:Y513"/>
    <mergeCell ref="E513:G513"/>
    <mergeCell ref="S513:U513"/>
    <mergeCell ref="AZ36:BB36"/>
    <mergeCell ref="AT101:AW101"/>
    <mergeCell ref="Z267:AC267"/>
    <mergeCell ref="T469:U469"/>
    <mergeCell ref="AG445:AI445"/>
    <mergeCell ref="AK352:AM352"/>
    <mergeCell ref="AL452:AN452"/>
    <mergeCell ref="AG457:AH457"/>
    <mergeCell ref="AG452:AI452"/>
    <mergeCell ref="AQ367:AR367"/>
    <mergeCell ref="AE475:AI475"/>
    <mergeCell ref="V469:W469"/>
    <mergeCell ref="T475:U475"/>
    <mergeCell ref="V475:W475"/>
    <mergeCell ref="U445:W445"/>
    <mergeCell ref="Y445:AA445"/>
    <mergeCell ref="AB452:AD452"/>
    <mergeCell ref="Y449:AA449"/>
    <mergeCell ref="Y450:AA450"/>
    <mergeCell ref="X452:Z452"/>
    <mergeCell ref="Z461:AB461"/>
    <mergeCell ref="U370:V370"/>
    <mergeCell ref="Y370:Z370"/>
    <mergeCell ref="AB406:AD406"/>
    <mergeCell ref="AA447:AB447"/>
    <mergeCell ref="Z412:AC412"/>
    <mergeCell ref="X406:Z406"/>
    <mergeCell ref="S428:U428"/>
    <mergeCell ref="Q445:S445"/>
    <mergeCell ref="N428:Q428"/>
    <mergeCell ref="P367:R367"/>
    <mergeCell ref="P372:S372"/>
    <mergeCell ref="F461:H461"/>
    <mergeCell ref="J461:L461"/>
    <mergeCell ref="N461:O461"/>
    <mergeCell ref="Q461:S461"/>
    <mergeCell ref="Q406:S406"/>
    <mergeCell ref="Q452:S452"/>
    <mergeCell ref="I428:L428"/>
    <mergeCell ref="O424:R424"/>
    <mergeCell ref="AI241:AJ241"/>
    <mergeCell ref="N282:V282"/>
    <mergeCell ref="M284:Q284"/>
    <mergeCell ref="C465:D465"/>
    <mergeCell ref="Q463:W463"/>
    <mergeCell ref="R464:V464"/>
    <mergeCell ref="I406:K406"/>
    <mergeCell ref="M406:O406"/>
    <mergeCell ref="E367:F367"/>
    <mergeCell ref="AJ440:AL440"/>
    <mergeCell ref="N290:V290"/>
    <mergeCell ref="M292:Q292"/>
    <mergeCell ref="Z355:AE355"/>
    <mergeCell ref="AK406:AM406"/>
    <mergeCell ref="Z358:AC358"/>
    <mergeCell ref="J414:N414"/>
    <mergeCell ref="P414:S414"/>
    <mergeCell ref="V414:X414"/>
    <mergeCell ref="H367:J367"/>
    <mergeCell ref="L367:N367"/>
    <mergeCell ref="P229:AA229"/>
    <mergeCell ref="S230:V230"/>
    <mergeCell ref="AH170:AI170"/>
    <mergeCell ref="AG241:AH241"/>
    <mergeCell ref="AD207:AE207"/>
    <mergeCell ref="X202:Z202"/>
    <mergeCell ref="R211:T211"/>
    <mergeCell ref="AI213:AK213"/>
    <mergeCell ref="V204:W204"/>
    <mergeCell ref="AG203:AJ203"/>
    <mergeCell ref="O228:R228"/>
    <mergeCell ref="O172:S172"/>
    <mergeCell ref="U173:X173"/>
    <mergeCell ref="O174:R174"/>
    <mergeCell ref="S176:T176"/>
    <mergeCell ref="V162:X162"/>
    <mergeCell ref="S163:AR163"/>
    <mergeCell ref="Z228:AB228"/>
    <mergeCell ref="AE176:AG176"/>
    <mergeCell ref="AA176:AC176"/>
    <mergeCell ref="AD122:AG122"/>
    <mergeCell ref="B65:AD65"/>
    <mergeCell ref="AD102:AG102"/>
    <mergeCell ref="T32:AI32"/>
    <mergeCell ref="AA102:AB102"/>
    <mergeCell ref="P138:S138"/>
    <mergeCell ref="AD116:AG116"/>
    <mergeCell ref="E132:G132"/>
    <mergeCell ref="B32:R32"/>
    <mergeCell ref="B33:AK33"/>
    <mergeCell ref="AM36:AN36"/>
    <mergeCell ref="AM16:AQ16"/>
    <mergeCell ref="S101:AR101"/>
    <mergeCell ref="O119:W119"/>
    <mergeCell ref="Z119:AC119"/>
    <mergeCell ref="AM20:AO20"/>
    <mergeCell ref="B17:AA17"/>
    <mergeCell ref="AJ20:AK20"/>
    <mergeCell ref="B20:AI20"/>
    <mergeCell ref="B31:AK31"/>
    <mergeCell ref="AN86:AO86"/>
    <mergeCell ref="AM18:AQ18"/>
    <mergeCell ref="AM21:AQ21"/>
    <mergeCell ref="V114:X114"/>
    <mergeCell ref="U111:X111"/>
    <mergeCell ref="AM32:AP32"/>
    <mergeCell ref="AN88:AO88"/>
    <mergeCell ref="AL83:AM83"/>
    <mergeCell ref="AM22:AN22"/>
    <mergeCell ref="AM34:AO34"/>
    <mergeCell ref="AK263:AN263"/>
    <mergeCell ref="AM213:AO213"/>
    <mergeCell ref="AB202:AD202"/>
    <mergeCell ref="O112:R112"/>
    <mergeCell ref="Q118:S118"/>
    <mergeCell ref="AL85:AM85"/>
    <mergeCell ref="Q166:S166"/>
    <mergeCell ref="AG207:AI207"/>
    <mergeCell ref="Z138:AB138"/>
    <mergeCell ref="B160:AI160"/>
    <mergeCell ref="P202:Q202"/>
    <mergeCell ref="S202:U202"/>
    <mergeCell ref="AJ21:AK21"/>
    <mergeCell ref="AM33:AR33"/>
    <mergeCell ref="AM37:AN37"/>
    <mergeCell ref="AJ37:AK37"/>
    <mergeCell ref="AM100:AO100"/>
    <mergeCell ref="S100:T100"/>
    <mergeCell ref="V100:X100"/>
    <mergeCell ref="AA100:AC100"/>
    <mergeCell ref="U118:W118"/>
    <mergeCell ref="AM114:AO114"/>
    <mergeCell ref="S115:AR115"/>
    <mergeCell ref="X116:Y116"/>
    <mergeCell ref="U166:W166"/>
    <mergeCell ref="O167:W167"/>
    <mergeCell ref="AM160:AN160"/>
    <mergeCell ref="AA162:AC162"/>
    <mergeCell ref="AH122:AI122"/>
    <mergeCell ref="R120:S120"/>
    <mergeCell ref="AJ38:AK38"/>
    <mergeCell ref="AM15:AQ15"/>
    <mergeCell ref="AM14:AQ14"/>
    <mergeCell ref="J7:AW7"/>
    <mergeCell ref="AS31:AW33"/>
    <mergeCell ref="B34:AI34"/>
    <mergeCell ref="AC17:AW17"/>
    <mergeCell ref="AM19:AQ19"/>
    <mergeCell ref="AJ19:AK19"/>
    <mergeCell ref="AM35:AO35"/>
    <mergeCell ref="P203:AE203"/>
    <mergeCell ref="AE114:AG114"/>
    <mergeCell ref="AI114:AK114"/>
    <mergeCell ref="AM31:AR31"/>
    <mergeCell ref="AM98:AN98"/>
    <mergeCell ref="AE100:AG100"/>
    <mergeCell ref="AI100:AK100"/>
    <mergeCell ref="AJ98:AK98"/>
    <mergeCell ref="AO98:AU98"/>
    <mergeCell ref="AJ36:AK36"/>
    <mergeCell ref="Q370:S370"/>
    <mergeCell ref="B198:C198"/>
    <mergeCell ref="AA254:AB254"/>
    <mergeCell ref="P257:R257"/>
    <mergeCell ref="T256:W256"/>
    <mergeCell ref="O246:R246"/>
    <mergeCell ref="B216:C216"/>
    <mergeCell ref="L216:M216"/>
    <mergeCell ref="E198:G198"/>
    <mergeCell ref="J211:L211"/>
    <mergeCell ref="M548:O548"/>
    <mergeCell ref="V548:X548"/>
    <mergeCell ref="AH551:AJ551"/>
    <mergeCell ref="R554:T554"/>
    <mergeCell ref="AP554:AR554"/>
    <mergeCell ref="AF566:AK566"/>
    <mergeCell ref="AH552:AJ552"/>
    <mergeCell ref="X554:Z554"/>
    <mergeCell ref="M469:S469"/>
    <mergeCell ref="J126:M126"/>
    <mergeCell ref="S162:T162"/>
    <mergeCell ref="Q104:S104"/>
    <mergeCell ref="U104:W104"/>
    <mergeCell ref="R106:S106"/>
    <mergeCell ref="O105:W105"/>
    <mergeCell ref="Q352:S352"/>
    <mergeCell ref="U354:W354"/>
    <mergeCell ref="R356:S356"/>
    <mergeCell ref="AT115:AV115"/>
    <mergeCell ref="AA114:AC114"/>
    <mergeCell ref="O110:S110"/>
    <mergeCell ref="S114:T114"/>
    <mergeCell ref="N211:P211"/>
    <mergeCell ref="W274:X274"/>
    <mergeCell ref="AJ225:AM225"/>
    <mergeCell ref="AM214:AO214"/>
    <mergeCell ref="AL215:AM215"/>
    <mergeCell ref="AI214:AK214"/>
    <mergeCell ref="F283:G283"/>
    <mergeCell ref="F291:G291"/>
    <mergeCell ref="E421:F421"/>
    <mergeCell ref="H421:J421"/>
    <mergeCell ref="L421:N421"/>
    <mergeCell ref="S284:W284"/>
    <mergeCell ref="B311:AB311"/>
    <mergeCell ref="X283:Z283"/>
    <mergeCell ref="X291:Z291"/>
    <mergeCell ref="Z347:AA347"/>
    <mergeCell ref="E469:G469"/>
    <mergeCell ref="I469:K469"/>
    <mergeCell ref="AH442:AJ442"/>
    <mergeCell ref="P360:S360"/>
    <mergeCell ref="F352:G352"/>
    <mergeCell ref="I352:K352"/>
    <mergeCell ref="M352:O352"/>
    <mergeCell ref="AB352:AD352"/>
    <mergeCell ref="AD442:AF442"/>
    <mergeCell ref="Q354:S354"/>
    <mergeCell ref="E475:G475"/>
    <mergeCell ref="M475:S475"/>
    <mergeCell ref="I519:M519"/>
    <mergeCell ref="I526:K526"/>
    <mergeCell ref="M526:N526"/>
    <mergeCell ref="W529:X529"/>
    <mergeCell ref="O519:R519"/>
    <mergeCell ref="X515:AB515"/>
    <mergeCell ref="AB504:AD504"/>
    <mergeCell ref="I475:K475"/>
    <mergeCell ref="I548:K548"/>
    <mergeCell ref="AD568:AE568"/>
    <mergeCell ref="AM540:AO540"/>
    <mergeCell ref="AM526:AO526"/>
    <mergeCell ref="S526:U526"/>
    <mergeCell ref="P526:Q526"/>
    <mergeCell ref="S529:U529"/>
    <mergeCell ref="N531:P531"/>
    <mergeCell ref="O529:Q529"/>
    <mergeCell ref="AH554:AJ554"/>
    <mergeCell ref="F564:H564"/>
    <mergeCell ref="J564:L564"/>
    <mergeCell ref="R564:T564"/>
    <mergeCell ref="AA564:AC564"/>
    <mergeCell ref="AB554:AD554"/>
    <mergeCell ref="AG567:AK567"/>
    <mergeCell ref="AF559:AG559"/>
    <mergeCell ref="N564:P564"/>
    <mergeCell ref="E573:F573"/>
    <mergeCell ref="H573:J573"/>
    <mergeCell ref="L573:Q573"/>
    <mergeCell ref="AH573:AJ573"/>
    <mergeCell ref="E580:F580"/>
    <mergeCell ref="S573:T573"/>
    <mergeCell ref="V580:Z580"/>
    <mergeCell ref="L580:Q580"/>
    <mergeCell ref="S580:T580"/>
    <mergeCell ref="H580:J580"/>
    <mergeCell ref="AA596:AE596"/>
    <mergeCell ref="AB580:AF580"/>
    <mergeCell ref="AD108:AG108"/>
    <mergeCell ref="AM566:AQ566"/>
    <mergeCell ref="Z531:AA531"/>
    <mergeCell ref="AH497:AJ497"/>
    <mergeCell ref="V573:Z573"/>
    <mergeCell ref="AB526:AC526"/>
    <mergeCell ref="X352:Z352"/>
    <mergeCell ref="V360:X360"/>
    <mergeCell ref="L592:N592"/>
    <mergeCell ref="P592:R592"/>
    <mergeCell ref="T592:W592"/>
    <mergeCell ref="V596:Y596"/>
    <mergeCell ref="P596:T596"/>
    <mergeCell ref="I127:M127"/>
    <mergeCell ref="O127:P127"/>
    <mergeCell ref="I128:M128"/>
    <mergeCell ref="J246:M246"/>
    <mergeCell ref="W526:Y526"/>
    <mergeCell ref="AG601:AI601"/>
    <mergeCell ref="AJ610:AL610"/>
    <mergeCell ref="AN610:AP610"/>
    <mergeCell ref="AM38:AN38"/>
    <mergeCell ref="AH587:AJ587"/>
    <mergeCell ref="AH588:AJ588"/>
    <mergeCell ref="AO160:AU160"/>
    <mergeCell ref="AI162:AK162"/>
    <mergeCell ref="AK601:AM601"/>
    <mergeCell ref="AF526:AH526"/>
    <mergeCell ref="AC601:AE601"/>
    <mergeCell ref="AM27:AO27"/>
    <mergeCell ref="AM23:AO23"/>
    <mergeCell ref="AM28:AO28"/>
    <mergeCell ref="AM39:AN39"/>
    <mergeCell ref="V517:Y517"/>
    <mergeCell ref="V531:Y531"/>
    <mergeCell ref="AB256:AD256"/>
    <mergeCell ref="T257:AD257"/>
    <mergeCell ref="AJ34:AK34"/>
    <mergeCell ref="Z660:AG660"/>
    <mergeCell ref="AJ35:AK35"/>
    <mergeCell ref="AE162:AG162"/>
    <mergeCell ref="AM162:AO162"/>
    <mergeCell ref="AH498:AJ498"/>
    <mergeCell ref="M513:O513"/>
    <mergeCell ref="J533:M533"/>
    <mergeCell ref="O533:R533"/>
    <mergeCell ref="T533:V533"/>
    <mergeCell ref="Z529:AC529"/>
    <mergeCell ref="AA665:AD665"/>
    <mergeCell ref="AA671:AD671"/>
    <mergeCell ref="AH670:AL670"/>
    <mergeCell ref="Z652:AB652"/>
    <mergeCell ref="Z654:AB654"/>
    <mergeCell ref="Z655:AB655"/>
    <mergeCell ref="Z659:AB659"/>
    <mergeCell ref="Z661:AB661"/>
    <mergeCell ref="AJ666:AN666"/>
    <mergeCell ref="Z656:AA656"/>
    <mergeCell ref="AN664:AO664"/>
    <mergeCell ref="AQ664:AR664"/>
    <mergeCell ref="AT664:AU664"/>
    <mergeCell ref="AW664:AX664"/>
    <mergeCell ref="Z662:AA662"/>
    <mergeCell ref="Z663:AA663"/>
    <mergeCell ref="AA664:AB664"/>
    <mergeCell ref="AD664:AF664"/>
    <mergeCell ref="AN673:AR673"/>
    <mergeCell ref="AC673:AF673"/>
    <mergeCell ref="Z666:AG666"/>
    <mergeCell ref="AI660:AL660"/>
    <mergeCell ref="Z667:AD667"/>
    <mergeCell ref="AF667:AI667"/>
    <mergeCell ref="Z668:AC668"/>
    <mergeCell ref="AF668:AI668"/>
    <mergeCell ref="Z669:AF669"/>
    <mergeCell ref="AK664:AL664"/>
  </mergeCells>
  <dataValidations count="3">
    <dataValidation type="list" allowBlank="1" showInputMessage="1" showErrorMessage="1" sqref="AM33:AR33 AM31:AR31">
      <formula1>raytipi</formula1>
    </dataValidation>
    <dataValidation type="list" allowBlank="1" showInputMessage="1" showErrorMessage="1" sqref="T32:AI32">
      <formula1>esik</formula1>
    </dataValidation>
    <dataValidation type="list" allowBlank="1" showInputMessage="1" showErrorMessage="1" sqref="AC17:AX17">
      <formula1>fren</formula1>
    </dataValidation>
  </dataValidations>
  <printOptions/>
  <pageMargins left="0.3937007874015748" right="0" top="0.31496062992125984" bottom="0" header="0.5118110236220472" footer="0.5118110236220472"/>
  <pageSetup horizontalDpi="600" verticalDpi="600" orientation="portrait" paperSize="9" r:id="rId10"/>
  <drawing r:id="rId9"/>
  <legacyDrawing r:id="rId8"/>
  <oleObjects>
    <oleObject progId="Equation.3" shapeId="362939" r:id="rId1"/>
    <oleObject progId="Word.Picture.8" shapeId="601344" r:id="rId2"/>
    <oleObject progId="Word.Picture.8" shapeId="1276588" r:id="rId3"/>
    <oleObject progId="Word.Picture.8" shapeId="1276589" r:id="rId4"/>
    <oleObject progId="Word.Picture.8" shapeId="1174493" r:id="rId5"/>
    <oleObject progId="Word.Picture.8" shapeId="1174494" r:id="rId6"/>
    <oleObject progId="Word.Picture.8" shapeId="40287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AI43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1" width="5.25390625" style="2" customWidth="1"/>
    <col min="12" max="13" width="4.75390625" style="2" customWidth="1"/>
    <col min="14" max="14" width="5.875" style="2" customWidth="1"/>
    <col min="15" max="33" width="9.125" style="2" customWidth="1"/>
    <col min="34" max="34" width="26.25390625" style="5" customWidth="1"/>
    <col min="35" max="35" width="14.00390625" style="2" customWidth="1"/>
    <col min="36" max="16384" width="9.125" style="2" customWidth="1"/>
  </cols>
  <sheetData>
    <row r="1" ht="12.75"/>
    <row r="2" ht="13.5" thickBot="1"/>
    <row r="3" spans="19:28" ht="12.75">
      <c r="S3" s="388" t="s">
        <v>117</v>
      </c>
      <c r="T3" s="100" t="s">
        <v>50</v>
      </c>
      <c r="U3" s="85" t="s">
        <v>51</v>
      </c>
      <c r="V3" s="85" t="s">
        <v>4</v>
      </c>
      <c r="W3" s="85"/>
      <c r="X3" s="79"/>
      <c r="Y3" s="79"/>
      <c r="Z3" s="76"/>
      <c r="AA3" s="79"/>
      <c r="AB3" s="82"/>
    </row>
    <row r="4" spans="2:28" ht="12.75">
      <c r="B4" s="2" t="s">
        <v>377</v>
      </c>
      <c r="C4" s="2" t="s">
        <v>378</v>
      </c>
      <c r="S4" s="389"/>
      <c r="T4" s="86" t="s">
        <v>49</v>
      </c>
      <c r="U4" s="86" t="s">
        <v>135</v>
      </c>
      <c r="V4" s="86" t="s">
        <v>39</v>
      </c>
      <c r="W4" s="86" t="s">
        <v>137</v>
      </c>
      <c r="X4" s="80" t="s">
        <v>126</v>
      </c>
      <c r="Y4" s="80" t="s">
        <v>127</v>
      </c>
      <c r="Z4" s="77" t="s">
        <v>138</v>
      </c>
      <c r="AA4" s="80" t="s">
        <v>128</v>
      </c>
      <c r="AB4" s="83" t="s">
        <v>129</v>
      </c>
    </row>
    <row r="5" spans="3:28" ht="12.75">
      <c r="C5" s="2" t="s">
        <v>379</v>
      </c>
      <c r="S5" s="389"/>
      <c r="T5" s="87" t="s">
        <v>426</v>
      </c>
      <c r="U5" s="87" t="s">
        <v>136</v>
      </c>
      <c r="V5" s="87" t="s">
        <v>87</v>
      </c>
      <c r="W5" s="87" t="s">
        <v>139</v>
      </c>
      <c r="X5" s="81" t="s">
        <v>140</v>
      </c>
      <c r="Y5" s="81" t="s">
        <v>140</v>
      </c>
      <c r="Z5" s="78" t="s">
        <v>139</v>
      </c>
      <c r="AA5" s="81" t="s">
        <v>141</v>
      </c>
      <c r="AB5" s="84" t="s">
        <v>141</v>
      </c>
    </row>
    <row r="6" spans="19:28" ht="12.75">
      <c r="S6" s="69" t="s">
        <v>118</v>
      </c>
      <c r="T6" s="54">
        <v>5</v>
      </c>
      <c r="U6" s="54">
        <v>4.75</v>
      </c>
      <c r="V6" s="54">
        <v>3.73</v>
      </c>
      <c r="W6" s="54">
        <v>1.54</v>
      </c>
      <c r="X6" s="67">
        <v>11.24</v>
      </c>
      <c r="Y6" s="67">
        <v>5.25</v>
      </c>
      <c r="Z6" s="67">
        <v>1.05</v>
      </c>
      <c r="AA6" s="67">
        <v>3.15</v>
      </c>
      <c r="AB6" s="68">
        <v>2.1</v>
      </c>
    </row>
    <row r="7" spans="19:28" ht="12.75">
      <c r="S7" s="69" t="s">
        <v>119</v>
      </c>
      <c r="T7" s="54">
        <v>5</v>
      </c>
      <c r="U7" s="54">
        <v>6.24</v>
      </c>
      <c r="V7" s="54">
        <v>4.9</v>
      </c>
      <c r="W7" s="54">
        <v>1.79</v>
      </c>
      <c r="X7" s="67">
        <v>20.09</v>
      </c>
      <c r="Y7" s="67">
        <v>10.92</v>
      </c>
      <c r="Z7" s="67">
        <v>1.32</v>
      </c>
      <c r="AA7" s="67">
        <v>5.44</v>
      </c>
      <c r="AB7" s="68">
        <v>3.36</v>
      </c>
    </row>
    <row r="8" spans="19:28" ht="13.5" thickBot="1">
      <c r="S8" s="69" t="s">
        <v>120</v>
      </c>
      <c r="T8" s="54">
        <v>6</v>
      </c>
      <c r="U8" s="54">
        <v>9.51</v>
      </c>
      <c r="V8" s="54">
        <v>7.47</v>
      </c>
      <c r="W8" s="54">
        <v>2.09</v>
      </c>
      <c r="X8" s="67">
        <v>41.3</v>
      </c>
      <c r="Y8" s="67">
        <v>18.65</v>
      </c>
      <c r="Z8" s="67">
        <v>1.4</v>
      </c>
      <c r="AA8" s="67">
        <v>9.24</v>
      </c>
      <c r="AB8" s="68">
        <v>5.35</v>
      </c>
    </row>
    <row r="9" spans="3:28" ht="12.75" customHeight="1">
      <c r="C9" s="406" t="s">
        <v>380</v>
      </c>
      <c r="D9" s="412"/>
      <c r="E9" s="412"/>
      <c r="F9" s="412"/>
      <c r="G9" s="412"/>
      <c r="H9" s="412"/>
      <c r="I9" s="412"/>
      <c r="J9" s="412"/>
      <c r="K9" s="407"/>
      <c r="L9" s="402" t="s">
        <v>395</v>
      </c>
      <c r="M9" s="403"/>
      <c r="N9" s="390" t="s">
        <v>381</v>
      </c>
      <c r="S9" s="69" t="s">
        <v>121</v>
      </c>
      <c r="T9" s="54">
        <v>8</v>
      </c>
      <c r="U9" s="54">
        <v>10.99</v>
      </c>
      <c r="V9" s="54">
        <v>8.63</v>
      </c>
      <c r="W9" s="54">
        <v>1.92</v>
      </c>
      <c r="X9" s="67">
        <v>40.35</v>
      </c>
      <c r="Y9" s="67">
        <v>26.49</v>
      </c>
      <c r="Z9" s="67">
        <v>1.55</v>
      </c>
      <c r="AA9" s="67">
        <v>9.29</v>
      </c>
      <c r="AB9" s="68">
        <v>7.06</v>
      </c>
    </row>
    <row r="10" spans="3:28" ht="13.5" thickBot="1">
      <c r="C10" s="410"/>
      <c r="D10" s="413"/>
      <c r="E10" s="413"/>
      <c r="F10" s="413"/>
      <c r="G10" s="413"/>
      <c r="H10" s="413"/>
      <c r="I10" s="413"/>
      <c r="J10" s="413"/>
      <c r="K10" s="411"/>
      <c r="L10" s="404"/>
      <c r="M10" s="405"/>
      <c r="N10" s="391"/>
      <c r="S10" s="69" t="s">
        <v>122</v>
      </c>
      <c r="T10" s="54">
        <v>9.5</v>
      </c>
      <c r="U10" s="54">
        <v>15.7</v>
      </c>
      <c r="V10" s="54">
        <v>12.3</v>
      </c>
      <c r="W10" s="54">
        <v>1.95</v>
      </c>
      <c r="X10" s="67">
        <v>59.6</v>
      </c>
      <c r="Y10" s="67">
        <v>52.5</v>
      </c>
      <c r="Z10" s="67">
        <v>1.83</v>
      </c>
      <c r="AA10" s="67">
        <v>14.5</v>
      </c>
      <c r="AB10" s="68">
        <v>11.8</v>
      </c>
    </row>
    <row r="11" spans="3:35" ht="12.75">
      <c r="C11" s="61" t="s">
        <v>94</v>
      </c>
      <c r="D11" s="62"/>
      <c r="E11" s="62"/>
      <c r="F11" s="62"/>
      <c r="G11" s="62"/>
      <c r="H11" s="62"/>
      <c r="I11" s="62"/>
      <c r="J11" s="62"/>
      <c r="K11" s="63"/>
      <c r="L11" s="406" t="s">
        <v>382</v>
      </c>
      <c r="M11" s="407"/>
      <c r="N11" s="390">
        <v>5</v>
      </c>
      <c r="S11" s="69" t="s">
        <v>123</v>
      </c>
      <c r="T11" s="54">
        <v>9</v>
      </c>
      <c r="U11" s="54">
        <v>17</v>
      </c>
      <c r="V11" s="54">
        <v>13.3</v>
      </c>
      <c r="W11" s="54">
        <v>2.44</v>
      </c>
      <c r="X11" s="67">
        <v>101.2</v>
      </c>
      <c r="Y11" s="67">
        <v>51.5</v>
      </c>
      <c r="Z11" s="67">
        <v>1.74</v>
      </c>
      <c r="AA11" s="67">
        <v>20.8</v>
      </c>
      <c r="AB11" s="68">
        <v>11.4</v>
      </c>
      <c r="AH11" s="108" t="s">
        <v>13</v>
      </c>
      <c r="AI11" s="108" t="s">
        <v>11</v>
      </c>
    </row>
    <row r="12" spans="3:35" ht="12.75">
      <c r="C12" s="392" t="s">
        <v>383</v>
      </c>
      <c r="D12" s="393"/>
      <c r="E12" s="393"/>
      <c r="F12" s="393"/>
      <c r="G12" s="393"/>
      <c r="H12" s="393"/>
      <c r="I12" s="393"/>
      <c r="J12" s="393"/>
      <c r="K12" s="394"/>
      <c r="L12" s="408"/>
      <c r="M12" s="409"/>
      <c r="N12" s="395"/>
      <c r="S12" s="69" t="s">
        <v>124</v>
      </c>
      <c r="T12" s="54">
        <v>10</v>
      </c>
      <c r="U12" s="54">
        <v>22.9</v>
      </c>
      <c r="V12" s="54">
        <v>18</v>
      </c>
      <c r="W12" s="54">
        <v>2.57</v>
      </c>
      <c r="X12" s="67">
        <v>151.1</v>
      </c>
      <c r="Y12" s="67">
        <v>156.6</v>
      </c>
      <c r="Z12" s="67">
        <v>2.52</v>
      </c>
      <c r="AA12" s="67">
        <v>26.2</v>
      </c>
      <c r="AB12" s="68">
        <v>25.1</v>
      </c>
      <c r="AH12" s="108" t="s">
        <v>14</v>
      </c>
      <c r="AI12" s="108" t="s">
        <v>12</v>
      </c>
    </row>
    <row r="13" spans="3:35" ht="13.5" thickBot="1">
      <c r="C13" s="392" t="s">
        <v>384</v>
      </c>
      <c r="D13" s="393"/>
      <c r="E13" s="393"/>
      <c r="F13" s="393"/>
      <c r="G13" s="393"/>
      <c r="H13" s="393"/>
      <c r="I13" s="393"/>
      <c r="J13" s="393"/>
      <c r="K13" s="394"/>
      <c r="L13" s="408"/>
      <c r="M13" s="409"/>
      <c r="N13" s="391"/>
      <c r="S13" s="70" t="s">
        <v>125</v>
      </c>
      <c r="T13" s="75">
        <v>9.5</v>
      </c>
      <c r="U13" s="75">
        <v>28.9</v>
      </c>
      <c r="V13" s="75">
        <v>22.7</v>
      </c>
      <c r="W13" s="75">
        <v>2.63</v>
      </c>
      <c r="X13" s="71">
        <v>200</v>
      </c>
      <c r="Y13" s="71">
        <v>234</v>
      </c>
      <c r="Z13" s="71">
        <v>2.85</v>
      </c>
      <c r="AA13" s="71">
        <v>31</v>
      </c>
      <c r="AB13" s="72">
        <v>36.8</v>
      </c>
      <c r="AH13" s="108" t="s">
        <v>15</v>
      </c>
      <c r="AI13" s="108" t="s">
        <v>10</v>
      </c>
    </row>
    <row r="14" spans="3:14" ht="12.75">
      <c r="C14" s="61" t="s">
        <v>95</v>
      </c>
      <c r="D14" s="62"/>
      <c r="E14" s="62"/>
      <c r="F14" s="62"/>
      <c r="G14" s="62"/>
      <c r="H14" s="62"/>
      <c r="I14" s="62"/>
      <c r="J14" s="62"/>
      <c r="K14" s="63"/>
      <c r="L14" s="408"/>
      <c r="M14" s="409"/>
      <c r="N14" s="390">
        <v>3</v>
      </c>
    </row>
    <row r="15" spans="3:14" ht="13.5" thickBot="1">
      <c r="C15" s="396" t="s">
        <v>385</v>
      </c>
      <c r="D15" s="397"/>
      <c r="E15" s="397"/>
      <c r="F15" s="397"/>
      <c r="G15" s="397"/>
      <c r="H15" s="397"/>
      <c r="I15" s="397"/>
      <c r="J15" s="397"/>
      <c r="K15" s="398"/>
      <c r="L15" s="408"/>
      <c r="M15" s="409"/>
      <c r="N15" s="395"/>
    </row>
    <row r="16" spans="3:31" ht="12.75">
      <c r="C16" s="396" t="s">
        <v>386</v>
      </c>
      <c r="D16" s="397"/>
      <c r="E16" s="397"/>
      <c r="F16" s="397"/>
      <c r="G16" s="397"/>
      <c r="H16" s="397"/>
      <c r="I16" s="397"/>
      <c r="J16" s="397"/>
      <c r="K16" s="398"/>
      <c r="L16" s="408"/>
      <c r="M16" s="409"/>
      <c r="N16" s="395"/>
      <c r="T16" s="88" t="s">
        <v>142</v>
      </c>
      <c r="U16" s="89">
        <v>0</v>
      </c>
      <c r="V16" s="89">
        <v>1</v>
      </c>
      <c r="W16" s="89">
        <v>2</v>
      </c>
      <c r="X16" s="89">
        <v>3</v>
      </c>
      <c r="Y16" s="89">
        <v>4</v>
      </c>
      <c r="Z16" s="89">
        <v>5</v>
      </c>
      <c r="AA16" s="89">
        <v>6</v>
      </c>
      <c r="AB16" s="89">
        <v>7</v>
      </c>
      <c r="AC16" s="89">
        <v>8</v>
      </c>
      <c r="AD16" s="89">
        <v>9</v>
      </c>
      <c r="AE16" s="90" t="s">
        <v>142</v>
      </c>
    </row>
    <row r="17" spans="3:31" ht="13.5" thickBot="1">
      <c r="C17" s="399" t="s">
        <v>387</v>
      </c>
      <c r="D17" s="400"/>
      <c r="E17" s="400"/>
      <c r="F17" s="400"/>
      <c r="G17" s="400"/>
      <c r="H17" s="400"/>
      <c r="I17" s="400"/>
      <c r="J17" s="400"/>
      <c r="K17" s="401"/>
      <c r="L17" s="408"/>
      <c r="M17" s="409"/>
      <c r="N17" s="391"/>
      <c r="T17" s="91">
        <v>20</v>
      </c>
      <c r="U17" s="73" t="s">
        <v>143</v>
      </c>
      <c r="V17" s="73" t="s">
        <v>143</v>
      </c>
      <c r="W17" s="73" t="s">
        <v>143</v>
      </c>
      <c r="X17" s="73" t="s">
        <v>144</v>
      </c>
      <c r="Y17" s="73" t="s">
        <v>144</v>
      </c>
      <c r="Z17" s="73" t="s">
        <v>145</v>
      </c>
      <c r="AA17" s="73" t="s">
        <v>145</v>
      </c>
      <c r="AB17" s="73" t="s">
        <v>146</v>
      </c>
      <c r="AC17" s="73" t="s">
        <v>146</v>
      </c>
      <c r="AD17" s="73" t="s">
        <v>147</v>
      </c>
      <c r="AE17" s="91">
        <v>20</v>
      </c>
    </row>
    <row r="18" spans="3:31" ht="12.75">
      <c r="C18" s="61" t="s">
        <v>97</v>
      </c>
      <c r="D18" s="62"/>
      <c r="E18" s="62"/>
      <c r="F18" s="62"/>
      <c r="G18" s="62"/>
      <c r="H18" s="62"/>
      <c r="I18" s="62"/>
      <c r="J18" s="62"/>
      <c r="K18" s="63"/>
      <c r="L18" s="408"/>
      <c r="M18" s="409"/>
      <c r="N18" s="390">
        <v>2</v>
      </c>
      <c r="T18" s="91">
        <v>30</v>
      </c>
      <c r="U18" s="73" t="s">
        <v>147</v>
      </c>
      <c r="V18" s="73" t="s">
        <v>148</v>
      </c>
      <c r="W18" s="73" t="s">
        <v>148</v>
      </c>
      <c r="X18" s="73" t="s">
        <v>149</v>
      </c>
      <c r="Y18" s="73" t="s">
        <v>149</v>
      </c>
      <c r="Z18" s="73" t="s">
        <v>150</v>
      </c>
      <c r="AA18" s="73" t="s">
        <v>150</v>
      </c>
      <c r="AB18" s="73" t="s">
        <v>151</v>
      </c>
      <c r="AC18" s="73" t="s">
        <v>152</v>
      </c>
      <c r="AD18" s="73" t="s">
        <v>152</v>
      </c>
      <c r="AE18" s="91">
        <v>30</v>
      </c>
    </row>
    <row r="19" spans="3:31" ht="12.75">
      <c r="C19" s="392" t="s">
        <v>388</v>
      </c>
      <c r="D19" s="393"/>
      <c r="E19" s="393"/>
      <c r="F19" s="393"/>
      <c r="G19" s="393"/>
      <c r="H19" s="393"/>
      <c r="I19" s="393"/>
      <c r="J19" s="393"/>
      <c r="K19" s="394"/>
      <c r="L19" s="408"/>
      <c r="M19" s="409"/>
      <c r="N19" s="395"/>
      <c r="T19" s="91">
        <v>40</v>
      </c>
      <c r="U19" s="73" t="s">
        <v>153</v>
      </c>
      <c r="V19" s="73" t="s">
        <v>153</v>
      </c>
      <c r="W19" s="73" t="s">
        <v>154</v>
      </c>
      <c r="X19" s="73" t="s">
        <v>155</v>
      </c>
      <c r="Y19" s="73" t="s">
        <v>155</v>
      </c>
      <c r="Z19" s="73" t="s">
        <v>156</v>
      </c>
      <c r="AA19" s="73" t="s">
        <v>157</v>
      </c>
      <c r="AB19" s="73" t="s">
        <v>158</v>
      </c>
      <c r="AC19" s="73" t="s">
        <v>158</v>
      </c>
      <c r="AD19" s="73" t="s">
        <v>159</v>
      </c>
      <c r="AE19" s="91">
        <v>40</v>
      </c>
    </row>
    <row r="20" spans="3:31" ht="12.75">
      <c r="C20" s="392" t="s">
        <v>389</v>
      </c>
      <c r="D20" s="393"/>
      <c r="E20" s="393"/>
      <c r="F20" s="393"/>
      <c r="G20" s="393"/>
      <c r="H20" s="393"/>
      <c r="I20" s="393"/>
      <c r="J20" s="393"/>
      <c r="K20" s="394"/>
      <c r="L20" s="408"/>
      <c r="M20" s="409"/>
      <c r="N20" s="395"/>
      <c r="T20" s="91">
        <v>50</v>
      </c>
      <c r="U20" s="73" t="s">
        <v>160</v>
      </c>
      <c r="V20" s="73" t="s">
        <v>161</v>
      </c>
      <c r="W20" s="73" t="s">
        <v>162</v>
      </c>
      <c r="X20" s="73" t="s">
        <v>162</v>
      </c>
      <c r="Y20" s="73" t="s">
        <v>163</v>
      </c>
      <c r="Z20" s="73" t="s">
        <v>164</v>
      </c>
      <c r="AA20" s="73" t="s">
        <v>165</v>
      </c>
      <c r="AB20" s="73" t="s">
        <v>166</v>
      </c>
      <c r="AC20" s="73" t="s">
        <v>167</v>
      </c>
      <c r="AD20" s="73" t="s">
        <v>168</v>
      </c>
      <c r="AE20" s="91">
        <v>50</v>
      </c>
    </row>
    <row r="21" spans="3:31" ht="13.5" thickBot="1">
      <c r="C21" s="419" t="s">
        <v>387</v>
      </c>
      <c r="D21" s="420"/>
      <c r="E21" s="420"/>
      <c r="F21" s="420"/>
      <c r="G21" s="420"/>
      <c r="H21" s="420"/>
      <c r="I21" s="420"/>
      <c r="J21" s="420"/>
      <c r="K21" s="421"/>
      <c r="L21" s="408"/>
      <c r="M21" s="409"/>
      <c r="N21" s="391"/>
      <c r="T21" s="91">
        <v>60</v>
      </c>
      <c r="U21" s="73" t="s">
        <v>169</v>
      </c>
      <c r="V21" s="73" t="s">
        <v>170</v>
      </c>
      <c r="W21" s="73" t="s">
        <v>171</v>
      </c>
      <c r="X21" s="73" t="s">
        <v>172</v>
      </c>
      <c r="Y21" s="73" t="s">
        <v>173</v>
      </c>
      <c r="Z21" s="73" t="s">
        <v>174</v>
      </c>
      <c r="AA21" s="73" t="s">
        <v>175</v>
      </c>
      <c r="AB21" s="73" t="s">
        <v>176</v>
      </c>
      <c r="AC21" s="73" t="s">
        <v>177</v>
      </c>
      <c r="AD21" s="73" t="s">
        <v>178</v>
      </c>
      <c r="AE21" s="91">
        <v>60</v>
      </c>
    </row>
    <row r="22" spans="3:31" ht="13.5" thickBot="1">
      <c r="C22" s="416" t="s">
        <v>390</v>
      </c>
      <c r="D22" s="417"/>
      <c r="E22" s="417"/>
      <c r="F22" s="417"/>
      <c r="G22" s="417"/>
      <c r="H22" s="417"/>
      <c r="I22" s="417"/>
      <c r="J22" s="417"/>
      <c r="K22" s="418"/>
      <c r="L22" s="410"/>
      <c r="M22" s="411"/>
      <c r="N22" s="65">
        <v>2</v>
      </c>
      <c r="T22" s="91">
        <v>70</v>
      </c>
      <c r="U22" s="73" t="s">
        <v>179</v>
      </c>
      <c r="V22" s="73" t="s">
        <v>180</v>
      </c>
      <c r="W22" s="73" t="s">
        <v>181</v>
      </c>
      <c r="X22" s="73" t="s">
        <v>182</v>
      </c>
      <c r="Y22" s="73" t="s">
        <v>183</v>
      </c>
      <c r="Z22" s="73" t="s">
        <v>184</v>
      </c>
      <c r="AA22" s="73" t="s">
        <v>185</v>
      </c>
      <c r="AB22" s="73" t="s">
        <v>186</v>
      </c>
      <c r="AC22" s="73" t="s">
        <v>187</v>
      </c>
      <c r="AD22" s="73" t="s">
        <v>188</v>
      </c>
      <c r="AE22" s="91">
        <v>70</v>
      </c>
    </row>
    <row r="23" spans="3:31" ht="13.5" thickBot="1">
      <c r="C23" s="416" t="s">
        <v>96</v>
      </c>
      <c r="D23" s="417"/>
      <c r="E23" s="417"/>
      <c r="F23" s="417"/>
      <c r="G23" s="417"/>
      <c r="H23" s="417"/>
      <c r="I23" s="417"/>
      <c r="J23" s="417"/>
      <c r="K23" s="418"/>
      <c r="L23" s="414" t="s">
        <v>391</v>
      </c>
      <c r="M23" s="415"/>
      <c r="N23" s="65">
        <v>1.2</v>
      </c>
      <c r="T23" s="91">
        <v>80</v>
      </c>
      <c r="U23" s="73" t="s">
        <v>189</v>
      </c>
      <c r="V23" s="73" t="s">
        <v>190</v>
      </c>
      <c r="W23" s="73" t="s">
        <v>191</v>
      </c>
      <c r="X23" s="73" t="s">
        <v>192</v>
      </c>
      <c r="Y23" s="73" t="s">
        <v>193</v>
      </c>
      <c r="Z23" s="73" t="s">
        <v>194</v>
      </c>
      <c r="AA23" s="73" t="s">
        <v>195</v>
      </c>
      <c r="AB23" s="73" t="s">
        <v>196</v>
      </c>
      <c r="AC23" s="73" t="s">
        <v>197</v>
      </c>
      <c r="AD23" s="73" t="s">
        <v>198</v>
      </c>
      <c r="AE23" s="91">
        <v>80</v>
      </c>
    </row>
    <row r="24" spans="3:31" ht="13.5" thickBot="1">
      <c r="C24" s="416" t="s">
        <v>392</v>
      </c>
      <c r="D24" s="417"/>
      <c r="E24" s="417"/>
      <c r="F24" s="417"/>
      <c r="G24" s="417"/>
      <c r="H24" s="417"/>
      <c r="I24" s="417"/>
      <c r="J24" s="417"/>
      <c r="K24" s="418"/>
      <c r="L24" s="414" t="s">
        <v>393</v>
      </c>
      <c r="M24" s="415"/>
      <c r="N24" s="65" t="s">
        <v>394</v>
      </c>
      <c r="T24" s="91">
        <v>90</v>
      </c>
      <c r="U24" s="73" t="s">
        <v>199</v>
      </c>
      <c r="V24" s="73" t="s">
        <v>200</v>
      </c>
      <c r="W24" s="73" t="s">
        <v>201</v>
      </c>
      <c r="X24" s="73" t="s">
        <v>202</v>
      </c>
      <c r="Y24" s="73" t="s">
        <v>203</v>
      </c>
      <c r="Z24" s="73" t="s">
        <v>204</v>
      </c>
      <c r="AA24" s="73" t="s">
        <v>205</v>
      </c>
      <c r="AB24" s="73" t="s">
        <v>206</v>
      </c>
      <c r="AC24" s="73" t="s">
        <v>207</v>
      </c>
      <c r="AD24" s="73" t="s">
        <v>208</v>
      </c>
      <c r="AE24" s="91">
        <v>90</v>
      </c>
    </row>
    <row r="25" spans="20:35" ht="12.75">
      <c r="T25" s="91">
        <v>100</v>
      </c>
      <c r="U25" s="73" t="s">
        <v>209</v>
      </c>
      <c r="V25" s="73" t="s">
        <v>210</v>
      </c>
      <c r="W25" s="73" t="s">
        <v>211</v>
      </c>
      <c r="X25" s="73" t="s">
        <v>212</v>
      </c>
      <c r="Y25" s="73" t="s">
        <v>213</v>
      </c>
      <c r="Z25" s="73" t="s">
        <v>214</v>
      </c>
      <c r="AA25" s="73" t="s">
        <v>215</v>
      </c>
      <c r="AB25" s="73" t="s">
        <v>216</v>
      </c>
      <c r="AC25" s="73" t="s">
        <v>217</v>
      </c>
      <c r="AD25" s="73" t="s">
        <v>218</v>
      </c>
      <c r="AE25" s="91">
        <v>100</v>
      </c>
      <c r="AF25" s="11"/>
      <c r="AG25"/>
      <c r="AH25" s="7"/>
      <c r="AI25"/>
    </row>
    <row r="26" spans="20:35" ht="12.75">
      <c r="T26" s="91">
        <v>110</v>
      </c>
      <c r="U26" s="73" t="s">
        <v>219</v>
      </c>
      <c r="V26" s="73" t="s">
        <v>220</v>
      </c>
      <c r="W26" s="73" t="s">
        <v>221</v>
      </c>
      <c r="X26" s="73" t="s">
        <v>222</v>
      </c>
      <c r="Y26" s="73" t="s">
        <v>223</v>
      </c>
      <c r="Z26" s="73" t="s">
        <v>224</v>
      </c>
      <c r="AA26" s="73" t="s">
        <v>225</v>
      </c>
      <c r="AB26" s="73" t="s">
        <v>226</v>
      </c>
      <c r="AC26" s="73" t="s">
        <v>227</v>
      </c>
      <c r="AD26" s="73" t="s">
        <v>228</v>
      </c>
      <c r="AE26" s="91">
        <v>110</v>
      </c>
      <c r="AF26"/>
      <c r="AG26" s="11"/>
      <c r="AH26" s="109"/>
      <c r="AI26" s="12"/>
    </row>
    <row r="27" spans="20:35" ht="12.75">
      <c r="T27" s="91">
        <v>120</v>
      </c>
      <c r="U27" s="73" t="s">
        <v>229</v>
      </c>
      <c r="V27" s="73" t="s">
        <v>230</v>
      </c>
      <c r="W27" s="73" t="s">
        <v>231</v>
      </c>
      <c r="X27" s="73" t="s">
        <v>232</v>
      </c>
      <c r="Y27" s="73" t="s">
        <v>233</v>
      </c>
      <c r="Z27" s="73" t="s">
        <v>234</v>
      </c>
      <c r="AA27" s="73" t="s">
        <v>235</v>
      </c>
      <c r="AB27" s="73" t="s">
        <v>236</v>
      </c>
      <c r="AC27" s="73" t="s">
        <v>237</v>
      </c>
      <c r="AD27" s="73" t="s">
        <v>238</v>
      </c>
      <c r="AE27" s="91">
        <v>120</v>
      </c>
      <c r="AF27"/>
      <c r="AH27" s="109"/>
      <c r="AI27"/>
    </row>
    <row r="28" spans="20:31" ht="12.75">
      <c r="T28" s="91">
        <v>130</v>
      </c>
      <c r="U28" s="73" t="s">
        <v>239</v>
      </c>
      <c r="V28" s="73" t="s">
        <v>240</v>
      </c>
      <c r="W28" s="73" t="s">
        <v>241</v>
      </c>
      <c r="X28" s="73" t="s">
        <v>242</v>
      </c>
      <c r="Y28" s="73" t="s">
        <v>243</v>
      </c>
      <c r="Z28" s="73" t="s">
        <v>244</v>
      </c>
      <c r="AA28" s="73" t="s">
        <v>245</v>
      </c>
      <c r="AB28" s="73" t="s">
        <v>246</v>
      </c>
      <c r="AC28" s="73" t="s">
        <v>247</v>
      </c>
      <c r="AD28" s="73" t="s">
        <v>248</v>
      </c>
      <c r="AE28" s="91">
        <v>130</v>
      </c>
    </row>
    <row r="29" spans="20:31" ht="13.5" thickBot="1">
      <c r="T29" s="91">
        <v>140</v>
      </c>
      <c r="U29" s="73" t="s">
        <v>249</v>
      </c>
      <c r="V29" s="73" t="s">
        <v>250</v>
      </c>
      <c r="W29" s="73" t="s">
        <v>251</v>
      </c>
      <c r="X29" s="73" t="s">
        <v>252</v>
      </c>
      <c r="Y29" s="73" t="s">
        <v>253</v>
      </c>
      <c r="Z29" s="73" t="s">
        <v>254</v>
      </c>
      <c r="AA29" s="73" t="s">
        <v>255</v>
      </c>
      <c r="AB29" s="73" t="s">
        <v>256</v>
      </c>
      <c r="AC29" s="73" t="s">
        <v>257</v>
      </c>
      <c r="AD29" s="73" t="s">
        <v>258</v>
      </c>
      <c r="AE29" s="91">
        <v>140</v>
      </c>
    </row>
    <row r="30" spans="15:31" ht="12.75">
      <c r="O30" s="382" t="s">
        <v>116</v>
      </c>
      <c r="P30" s="383"/>
      <c r="Q30" s="383"/>
      <c r="R30" s="384"/>
      <c r="T30" s="91">
        <v>150</v>
      </c>
      <c r="U30" s="73" t="s">
        <v>259</v>
      </c>
      <c r="V30" s="73" t="s">
        <v>260</v>
      </c>
      <c r="W30" s="73" t="s">
        <v>261</v>
      </c>
      <c r="X30" s="73" t="s">
        <v>262</v>
      </c>
      <c r="Y30" s="73" t="s">
        <v>263</v>
      </c>
      <c r="Z30" s="73" t="s">
        <v>264</v>
      </c>
      <c r="AA30" s="73" t="s">
        <v>265</v>
      </c>
      <c r="AB30" s="73" t="s">
        <v>266</v>
      </c>
      <c r="AC30" s="73" t="s">
        <v>267</v>
      </c>
      <c r="AD30" s="73" t="s">
        <v>268</v>
      </c>
      <c r="AE30" s="91">
        <v>150</v>
      </c>
    </row>
    <row r="31" spans="15:31" ht="13.5" thickBot="1">
      <c r="O31" s="385"/>
      <c r="P31" s="386"/>
      <c r="Q31" s="386"/>
      <c r="R31" s="387"/>
      <c r="T31" s="91">
        <v>160</v>
      </c>
      <c r="U31" s="73" t="s">
        <v>269</v>
      </c>
      <c r="V31" s="73" t="s">
        <v>270</v>
      </c>
      <c r="W31" s="73" t="s">
        <v>271</v>
      </c>
      <c r="X31" s="73" t="s">
        <v>272</v>
      </c>
      <c r="Y31" s="73" t="s">
        <v>273</v>
      </c>
      <c r="Z31" s="73" t="s">
        <v>274</v>
      </c>
      <c r="AA31" s="73" t="s">
        <v>275</v>
      </c>
      <c r="AB31" s="73" t="s">
        <v>276</v>
      </c>
      <c r="AC31" s="73" t="s">
        <v>277</v>
      </c>
      <c r="AD31" s="73" t="s">
        <v>278</v>
      </c>
      <c r="AE31" s="91">
        <v>160</v>
      </c>
    </row>
    <row r="32" spans="15:31" ht="12.75">
      <c r="O32" s="376" t="s">
        <v>94</v>
      </c>
      <c r="P32" s="377"/>
      <c r="Q32" s="377"/>
      <c r="R32" s="378"/>
      <c r="S32" s="35"/>
      <c r="T32" s="91">
        <v>170</v>
      </c>
      <c r="U32" s="73" t="s">
        <v>279</v>
      </c>
      <c r="V32" s="73" t="s">
        <v>280</v>
      </c>
      <c r="W32" s="73" t="s">
        <v>281</v>
      </c>
      <c r="X32" s="73" t="s">
        <v>282</v>
      </c>
      <c r="Y32" s="73" t="s">
        <v>283</v>
      </c>
      <c r="Z32" s="73" t="s">
        <v>284</v>
      </c>
      <c r="AA32" s="73" t="s">
        <v>285</v>
      </c>
      <c r="AB32" s="73" t="s">
        <v>286</v>
      </c>
      <c r="AC32" s="73" t="s">
        <v>287</v>
      </c>
      <c r="AD32" s="73" t="s">
        <v>288</v>
      </c>
      <c r="AE32" s="91">
        <v>170</v>
      </c>
    </row>
    <row r="33" spans="15:31" ht="12.75">
      <c r="O33" s="64" t="s">
        <v>95</v>
      </c>
      <c r="P33" s="35"/>
      <c r="Q33" s="35"/>
      <c r="R33" s="66"/>
      <c r="S33" s="45"/>
      <c r="T33" s="91">
        <v>180</v>
      </c>
      <c r="U33" s="73" t="s">
        <v>289</v>
      </c>
      <c r="V33" s="73" t="s">
        <v>290</v>
      </c>
      <c r="W33" s="73" t="s">
        <v>291</v>
      </c>
      <c r="X33" s="73" t="s">
        <v>292</v>
      </c>
      <c r="Y33" s="73" t="s">
        <v>293</v>
      </c>
      <c r="Z33" s="73" t="s">
        <v>294</v>
      </c>
      <c r="AA33" s="73" t="s">
        <v>295</v>
      </c>
      <c r="AB33" s="73" t="s">
        <v>296</v>
      </c>
      <c r="AC33" s="73" t="s">
        <v>297</v>
      </c>
      <c r="AD33" s="73" t="s">
        <v>298</v>
      </c>
      <c r="AE33" s="91">
        <v>180</v>
      </c>
    </row>
    <row r="34" spans="15:31" ht="13.5" thickBot="1">
      <c r="O34" s="379" t="s">
        <v>97</v>
      </c>
      <c r="P34" s="380"/>
      <c r="Q34" s="380"/>
      <c r="R34" s="381"/>
      <c r="S34" s="45"/>
      <c r="T34" s="91">
        <v>190</v>
      </c>
      <c r="U34" s="73" t="s">
        <v>299</v>
      </c>
      <c r="V34" s="73" t="s">
        <v>300</v>
      </c>
      <c r="W34" s="73" t="s">
        <v>301</v>
      </c>
      <c r="X34" s="73" t="s">
        <v>302</v>
      </c>
      <c r="Y34" s="73" t="s">
        <v>303</v>
      </c>
      <c r="Z34" s="73" t="s">
        <v>304</v>
      </c>
      <c r="AA34" s="73" t="s">
        <v>305</v>
      </c>
      <c r="AB34" s="73" t="s">
        <v>306</v>
      </c>
      <c r="AC34" s="73" t="s">
        <v>307</v>
      </c>
      <c r="AD34" s="73" t="s">
        <v>308</v>
      </c>
      <c r="AE34" s="91">
        <v>190</v>
      </c>
    </row>
    <row r="35" spans="20:31" ht="12.75">
      <c r="T35" s="91">
        <v>200</v>
      </c>
      <c r="U35" s="73" t="s">
        <v>309</v>
      </c>
      <c r="V35" s="73" t="s">
        <v>310</v>
      </c>
      <c r="W35" s="73" t="s">
        <v>311</v>
      </c>
      <c r="X35" s="73" t="s">
        <v>312</v>
      </c>
      <c r="Y35" s="73" t="s">
        <v>313</v>
      </c>
      <c r="Z35" s="73" t="s">
        <v>314</v>
      </c>
      <c r="AA35" s="73" t="s">
        <v>315</v>
      </c>
      <c r="AB35" s="73" t="s">
        <v>316</v>
      </c>
      <c r="AC35" s="73" t="s">
        <v>317</v>
      </c>
      <c r="AD35" s="73" t="s">
        <v>318</v>
      </c>
      <c r="AE35" s="91">
        <v>200</v>
      </c>
    </row>
    <row r="36" spans="2:31" ht="14.25">
      <c r="B36" s="256" t="s">
        <v>490</v>
      </c>
      <c r="C36" s="257"/>
      <c r="D36" s="257"/>
      <c r="E36" s="430"/>
      <c r="T36" s="91">
        <v>210</v>
      </c>
      <c r="U36" s="73" t="s">
        <v>319</v>
      </c>
      <c r="V36" s="73" t="s">
        <v>320</v>
      </c>
      <c r="W36" s="73" t="s">
        <v>321</v>
      </c>
      <c r="X36" s="73" t="s">
        <v>322</v>
      </c>
      <c r="Y36" s="73" t="s">
        <v>323</v>
      </c>
      <c r="Z36" s="73" t="s">
        <v>324</v>
      </c>
      <c r="AA36" s="73" t="s">
        <v>325</v>
      </c>
      <c r="AB36" s="73" t="s">
        <v>326</v>
      </c>
      <c r="AC36" s="73" t="s">
        <v>327</v>
      </c>
      <c r="AD36" s="73" t="s">
        <v>328</v>
      </c>
      <c r="AE36" s="91">
        <v>210</v>
      </c>
    </row>
    <row r="37" spans="20:31" ht="13.5" thickBot="1">
      <c r="T37" s="91">
        <v>220</v>
      </c>
      <c r="U37" s="73" t="s">
        <v>329</v>
      </c>
      <c r="V37" s="73" t="s">
        <v>330</v>
      </c>
      <c r="W37" s="73" t="s">
        <v>331</v>
      </c>
      <c r="X37" s="73" t="s">
        <v>332</v>
      </c>
      <c r="Y37" s="73" t="s">
        <v>333</v>
      </c>
      <c r="Z37" s="73" t="s">
        <v>334</v>
      </c>
      <c r="AA37" s="73" t="s">
        <v>335</v>
      </c>
      <c r="AB37" s="73" t="s">
        <v>336</v>
      </c>
      <c r="AC37" s="73" t="s">
        <v>337</v>
      </c>
      <c r="AD37" s="73" t="s">
        <v>338</v>
      </c>
      <c r="AE37" s="91">
        <v>220</v>
      </c>
    </row>
    <row r="38" spans="2:31" ht="15.75">
      <c r="B38" s="431" t="s">
        <v>469</v>
      </c>
      <c r="C38" s="432"/>
      <c r="D38" s="432"/>
      <c r="E38" s="426" t="s">
        <v>470</v>
      </c>
      <c r="F38" s="426"/>
      <c r="G38" s="427"/>
      <c r="H38" s="118" t="s">
        <v>474</v>
      </c>
      <c r="I38" s="114" t="s">
        <v>475</v>
      </c>
      <c r="J38" s="114" t="s">
        <v>476</v>
      </c>
      <c r="K38" s="114" t="s">
        <v>477</v>
      </c>
      <c r="L38" s="114" t="s">
        <v>478</v>
      </c>
      <c r="M38" s="114" t="s">
        <v>479</v>
      </c>
      <c r="N38" s="115" t="s">
        <v>480</v>
      </c>
      <c r="T38" s="91">
        <v>230</v>
      </c>
      <c r="U38" s="73" t="s">
        <v>339</v>
      </c>
      <c r="V38" s="73" t="s">
        <v>340</v>
      </c>
      <c r="W38" s="73" t="s">
        <v>341</v>
      </c>
      <c r="X38" s="73" t="s">
        <v>342</v>
      </c>
      <c r="Y38" s="73" t="s">
        <v>343</v>
      </c>
      <c r="Z38" s="73" t="s">
        <v>344</v>
      </c>
      <c r="AA38" s="73" t="s">
        <v>345</v>
      </c>
      <c r="AB38" s="73" t="s">
        <v>346</v>
      </c>
      <c r="AC38" s="73" t="s">
        <v>347</v>
      </c>
      <c r="AD38" s="73" t="s">
        <v>348</v>
      </c>
      <c r="AE38" s="91">
        <v>230</v>
      </c>
    </row>
    <row r="39" spans="2:31" ht="15" thickBot="1">
      <c r="B39" s="433"/>
      <c r="C39" s="434"/>
      <c r="D39" s="434"/>
      <c r="E39" s="435" t="s">
        <v>471</v>
      </c>
      <c r="F39" s="435"/>
      <c r="G39" s="436"/>
      <c r="H39" s="119" t="s">
        <v>474</v>
      </c>
      <c r="I39" s="116">
        <v>18.5</v>
      </c>
      <c r="J39" s="116">
        <v>14.2</v>
      </c>
      <c r="K39" s="116">
        <v>10.5</v>
      </c>
      <c r="L39" s="116">
        <v>7.1</v>
      </c>
      <c r="M39" s="116">
        <v>5.6</v>
      </c>
      <c r="N39" s="117">
        <v>4</v>
      </c>
      <c r="T39" s="91">
        <v>240</v>
      </c>
      <c r="U39" s="73" t="s">
        <v>349</v>
      </c>
      <c r="V39" s="73" t="s">
        <v>350</v>
      </c>
      <c r="W39" s="73" t="s">
        <v>351</v>
      </c>
      <c r="X39" s="73" t="s">
        <v>352</v>
      </c>
      <c r="Y39" s="73" t="s">
        <v>353</v>
      </c>
      <c r="Z39" s="73" t="s">
        <v>354</v>
      </c>
      <c r="AA39" s="73" t="s">
        <v>355</v>
      </c>
      <c r="AB39" s="73" t="s">
        <v>356</v>
      </c>
      <c r="AC39" s="73" t="s">
        <v>357</v>
      </c>
      <c r="AD39" s="73" t="s">
        <v>358</v>
      </c>
      <c r="AE39" s="91">
        <v>240</v>
      </c>
    </row>
    <row r="40" spans="2:31" ht="16.5" thickBot="1">
      <c r="B40" s="422" t="s">
        <v>472</v>
      </c>
      <c r="C40" s="423"/>
      <c r="D40" s="423"/>
      <c r="E40" s="426" t="s">
        <v>473</v>
      </c>
      <c r="F40" s="426"/>
      <c r="G40" s="427"/>
      <c r="H40" s="120" t="s">
        <v>481</v>
      </c>
      <c r="I40" s="114" t="s">
        <v>482</v>
      </c>
      <c r="J40" s="114" t="s">
        <v>483</v>
      </c>
      <c r="K40" s="114" t="s">
        <v>484</v>
      </c>
      <c r="L40" s="114" t="s">
        <v>485</v>
      </c>
      <c r="M40" s="114" t="s">
        <v>486</v>
      </c>
      <c r="N40" s="115" t="s">
        <v>487</v>
      </c>
      <c r="T40" s="92">
        <v>250</v>
      </c>
      <c r="U40" s="93" t="s">
        <v>359</v>
      </c>
      <c r="V40" s="93" t="s">
        <v>376</v>
      </c>
      <c r="W40" s="93" t="s">
        <v>376</v>
      </c>
      <c r="X40" s="93" t="s">
        <v>376</v>
      </c>
      <c r="Y40" s="93" t="s">
        <v>376</v>
      </c>
      <c r="Z40" s="93" t="s">
        <v>376</v>
      </c>
      <c r="AA40" s="93" t="s">
        <v>376</v>
      </c>
      <c r="AB40" s="93" t="s">
        <v>376</v>
      </c>
      <c r="AC40" s="93" t="s">
        <v>376</v>
      </c>
      <c r="AD40" s="93" t="s">
        <v>376</v>
      </c>
      <c r="AE40" s="94" t="s">
        <v>376</v>
      </c>
    </row>
    <row r="41" spans="2:14" ht="15" thickBot="1">
      <c r="B41" s="424"/>
      <c r="C41" s="425"/>
      <c r="D41" s="425"/>
      <c r="E41" s="428" t="s">
        <v>471</v>
      </c>
      <c r="F41" s="428"/>
      <c r="G41" s="429"/>
      <c r="H41" s="75">
        <v>2.5</v>
      </c>
      <c r="I41" s="71">
        <v>3</v>
      </c>
      <c r="J41" s="71">
        <v>3.8</v>
      </c>
      <c r="K41" s="71">
        <v>5</v>
      </c>
      <c r="L41" s="71">
        <v>6.7</v>
      </c>
      <c r="M41" s="71">
        <v>10</v>
      </c>
      <c r="N41" s="72">
        <v>15.2</v>
      </c>
    </row>
    <row r="42" spans="2:14" ht="12.75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3"/>
    </row>
    <row r="43" spans="2:14" ht="15" thickBot="1">
      <c r="B43" s="124" t="s">
        <v>488</v>
      </c>
      <c r="C43" s="125" t="s">
        <v>489</v>
      </c>
      <c r="D43" s="125"/>
      <c r="E43" s="125"/>
      <c r="F43" s="125"/>
      <c r="G43" s="125"/>
      <c r="H43" s="125"/>
      <c r="I43" s="126" t="s">
        <v>471</v>
      </c>
      <c r="J43" s="111">
        <v>1</v>
      </c>
      <c r="K43" s="110"/>
      <c r="L43" s="125"/>
      <c r="M43" s="125"/>
      <c r="N43" s="127"/>
    </row>
  </sheetData>
  <sheetProtection/>
  <mergeCells count="31">
    <mergeCell ref="B40:D41"/>
    <mergeCell ref="E40:G40"/>
    <mergeCell ref="E41:G41"/>
    <mergeCell ref="B36:E36"/>
    <mergeCell ref="E38:G38"/>
    <mergeCell ref="B38:D39"/>
    <mergeCell ref="E39:G39"/>
    <mergeCell ref="L24:M24"/>
    <mergeCell ref="C15:K15"/>
    <mergeCell ref="C12:K12"/>
    <mergeCell ref="C13:K13"/>
    <mergeCell ref="C23:K23"/>
    <mergeCell ref="C24:K24"/>
    <mergeCell ref="C21:K21"/>
    <mergeCell ref="C22:K22"/>
    <mergeCell ref="N14:N17"/>
    <mergeCell ref="L9:M10"/>
    <mergeCell ref="L11:M22"/>
    <mergeCell ref="N18:N21"/>
    <mergeCell ref="C9:K10"/>
    <mergeCell ref="L23:M23"/>
    <mergeCell ref="O32:R32"/>
    <mergeCell ref="O34:R34"/>
    <mergeCell ref="O30:R31"/>
    <mergeCell ref="S3:S5"/>
    <mergeCell ref="N9:N10"/>
    <mergeCell ref="C19:K19"/>
    <mergeCell ref="C20:K20"/>
    <mergeCell ref="N11:N13"/>
    <mergeCell ref="C16:K16"/>
    <mergeCell ref="C17:K1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31750845092</cp:lastModifiedBy>
  <cp:lastPrinted>2010-08-01T06:08:36Z</cp:lastPrinted>
  <dcterms:created xsi:type="dcterms:W3CDTF">2009-09-04T08:09:16Z</dcterms:created>
  <dcterms:modified xsi:type="dcterms:W3CDTF">2010-10-18T14:02:07Z</dcterms:modified>
  <cp:category/>
  <cp:version/>
  <cp:contentType/>
  <cp:contentStatus/>
</cp:coreProperties>
</file>