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<sst xmlns="http://schemas.openxmlformats.org/spreadsheetml/2006/main" count="735" uniqueCount="450">
  <si>
    <t>1--Cihaz</t>
  </si>
  <si>
    <t>Kompresör</t>
  </si>
  <si>
    <t>2-Motor 
Gücü(HP)</t>
  </si>
  <si>
    <t>Cihaz Motor
Verimi</t>
  </si>
  <si>
    <t>Önerilen Yüksek 
Verimli Motor
Verimi</t>
  </si>
  <si>
    <t>Günde
Çalışma
Süresi(h)</t>
  </si>
  <si>
    <t>Yıllık
Enerji
Tasarrufu
(kwh/y)</t>
  </si>
  <si>
    <t>Enerjinin
Birim
Fiyatı
(TL/kwh)</t>
  </si>
  <si>
    <t>Para 
Tasarrufu
(TL)</t>
  </si>
  <si>
    <t>Yatırımın
Geri
Ödeme
Süresi
(Yıl)</t>
  </si>
  <si>
    <t xml:space="preserve">1-  1Hp=0,746 kw                   2-motor gücüne bağlı verim ifadesi : n(verim)=0,025LN(hp)+0,82 -güç arttıkça verim artar.    </t>
  </si>
  <si>
    <t>4--Verim-yük ilişkisi :  n(%)=0,65xYük(%)+0,5 yada      n(%)=0,30xLN(Yük(%)+1,1 -yük  arttıkça verim artar.</t>
  </si>
  <si>
    <t>3-- Yüksek verimli motor verimi=n2,       Standart verimli motor verimi=n1  arasındaki ilişki:     n2=0,64xn1+0,35</t>
  </si>
  <si>
    <t>1-Sanayi tesislerinde ödenen elektrik faturasının % 70 Kompresör ve ekipmanları için harcanmaktadır.</t>
  </si>
  <si>
    <t>2--Bir kompresörü 1 sene çalıştırmak için harcanan elektrik enerjisi maliyeti genelde kompresörün fiyatını geçer.</t>
  </si>
  <si>
    <t>4--Tipik bir kompresörün ömrü boyunca oluşan maliyetin % 76 elektriğe,%12 ekipman+kuruluma,%12 bakıma gider.</t>
  </si>
  <si>
    <t>5--Üretilen basınçlı havanın % 25 i sızıntılar nedeniyle kayıp olmaktadır-Bu değerin % 10 a indirilmesi kabul edilebilir değerdir.</t>
  </si>
  <si>
    <t>6-Kaçaklar son kullanım yerinde ve hattın ekipmana bağlandığı yerde genellikle conta bozulmasıyla oluşur.</t>
  </si>
  <si>
    <t>7--Basınçı hava kaçağı ultrasonik ses dedektörü ile duyulabilir olarak saptamak mmkündür.</t>
  </si>
  <si>
    <t>7.1--Delik çapı büyüdükçe basınç kayıpları üstel olarak büyür.</t>
  </si>
  <si>
    <t>8--Kompresör tiplerine göre verim:1--Tek kademi pistonu n=0.88--  2--Çok kad. Pistonlu-n=0.75  , 3--Vidalı-n=0.82</t>
  </si>
  <si>
    <t xml:space="preserve"> 4-Rotary-n=0.72  , 5-Tek kad. Santrifüj-n=0.80  , 6-Çok Kad. Santrifüj-n=0.70  , 7-Turbo blöver-n=0.70 , 8-Roots blöver-n=0.62</t>
  </si>
  <si>
    <t>2-Kompresör
Çıkışı Debimetre
Hava Debisi
(kg/s)</t>
  </si>
  <si>
    <t>3-Kayıp 
Hava 
Debisi</t>
  </si>
  <si>
    <t>Ortam Sıcaklığı
( C )</t>
  </si>
  <si>
    <t>Ortam
Basıncı
( kPa )</t>
  </si>
  <si>
    <t>Kompresörün
Yaptığı
İş
 (Kj/kg)</t>
  </si>
  <si>
    <t>Yıllık
Çalışma
Süresi(h)</t>
  </si>
  <si>
    <t>KompresörVerimi</t>
  </si>
  <si>
    <t>Kompresör
Motor
Verimi</t>
  </si>
  <si>
    <t>c1</t>
  </si>
  <si>
    <t>c2</t>
  </si>
  <si>
    <t>Güç
Kaybı
(kw)</t>
  </si>
  <si>
    <t>Enerji
Tasarrufu
(kwh/yıl)</t>
  </si>
  <si>
    <t>Para
Tasarrufu
(TL/yıl)</t>
  </si>
  <si>
    <t>Boru İçi
Hava 
Akışı 
Üst
Basıncı
(kPa)</t>
  </si>
  <si>
    <t>2-Cihaz
Girişleri Toplamı
Debimetre
Hava Debisi
(kg/s)</t>
  </si>
  <si>
    <t>1-  6-8 bar da üretilen basınçlı hava düşük basınç gerektiren sistemlerde kullanılmamalıdır.root blover ler kullanılmalıdır.</t>
  </si>
  <si>
    <t>2--Değişik basınç altında çalışan ekipmanlar ayrı hatlardan ve kompresörden beslenmelidir.</t>
  </si>
  <si>
    <t>3--Basınçlı hava sistemlerinde ani yük çekilmesi ve sızıntı durumlarında oluşan basınç düşmesine karşı kompresör set</t>
  </si>
  <si>
    <t>4--Kompresör set basıncının gerektiği kadar düşürülmesi ile ciddi tasarruf sağlanabilir.</t>
  </si>
  <si>
    <t>Kompresör
Yükleme 
Oranı</t>
  </si>
  <si>
    <t>Kompresör
Basıncı
(kPa)</t>
  </si>
  <si>
    <t>İnceleme
Sonucu
Önerilen
Hava
Basıncı
(kPa)</t>
  </si>
  <si>
    <t>Güç
Azaltma
Faktörü</t>
  </si>
  <si>
    <t>Sistem
Basıncı
(kPa)</t>
  </si>
  <si>
    <t>1-Kış aylarında dış hava sıcaklığı fabrika içi sıcaklıktan daha düşük olup her 3 C lik sıcaklık düşüşünde enerji kullanımı %1 azalır.</t>
  </si>
  <si>
    <t>2-Soğuk,temiz ve kuru hava girişi daha verimli sıkıştırma sağlar.</t>
  </si>
  <si>
    <t>3--Hava girişi ile kompresör arasındaki hattın kısa,düz ve çapının büyük olması basınç düşmelerini minimuma indirir.</t>
  </si>
  <si>
    <t>4--Sıcak ve kuru iklimlerde kompresöre giren hava,soğutma cihazı ile soğutulması kompresör enerji tüketimini azaltır.</t>
  </si>
  <si>
    <t>2-Motor 
Gücü(kw)</t>
  </si>
  <si>
    <t>Dış
Hava
Sıcaklığı
(C )</t>
  </si>
  <si>
    <t>Ortam
Sıcaklığı
(C )</t>
  </si>
  <si>
    <t>1--Kompresörde sıkıştıralan havanın sıcaklığı 250 C ye kadar ulaşabilir.Bu hava yapılan işin % 60-90 arasında değişir.</t>
  </si>
  <si>
    <t>2-Sıkışmış sıcak havanın ısısı hava-su esaslı soğutucu ile atmosfere atılacağına 1-kazanda su ön ısıtması, 2-Kışın ortam ısıtması</t>
  </si>
  <si>
    <t xml:space="preserve">   için kullanılabilir.Kışın bir damper ile yönlendirilen sıcak hava fabrika içine sevk edilirken,yazın başka amaçlarla kullanılabilir.</t>
  </si>
  <si>
    <t>3--Eğer ortam ısıtması yapılacaksa komresör soğutma hattı-eşanjör bina içi havalandırma hattında üfleyici  fandan sonra konulur.</t>
  </si>
  <si>
    <t>1.1--110 kw gücündeki bir kompresörden 66 kw=66x860=56760 kcal/h ısıtma yapılabilir.</t>
  </si>
  <si>
    <t>Havanın
Özgül
Isısı
kj/kg.C</t>
  </si>
  <si>
    <t>Kompresör
Eşanjöründen
 Çıkan
Havanın
Sıcaklığı
( C )</t>
  </si>
  <si>
    <t>Kompresör
Eşanjörüne
Giren
Havanın
Sıcaklığı
( C )</t>
  </si>
  <si>
    <t>Kompresör
Eşanjörüne
Giren
Havanın
Kesit
Alanı
( m2 )</t>
  </si>
  <si>
    <t>Kompresör
Eşanjörüne
Giren
Havanın
Hızı
( m/s )</t>
  </si>
  <si>
    <t>Kompresör
Eşanjörüne
Giren
Havanın
Yoğunluğu
( kg/m3 )</t>
  </si>
  <si>
    <t>Kompresör
Eşanjörüne
Giren
Havanın
Debisi
(kg/h)</t>
  </si>
  <si>
    <t>Doğalgaz
Kazan
Verimi</t>
  </si>
  <si>
    <t>Doğalgazın
Isıl
Değeri
(kj/m3)</t>
  </si>
  <si>
    <t>Günlük
Çalışma
Süresi
( h )</t>
  </si>
  <si>
    <t>Hafta
Çalışma
Günü</t>
  </si>
  <si>
    <t>Kış
Sezonu
(Hafta)</t>
  </si>
  <si>
    <t>Çalışma
Süresi
( saat/yıl)</t>
  </si>
  <si>
    <t>Isı
Geri
Kazanım
Oranı
(kj/h)</t>
  </si>
  <si>
    <t>Yıllık
Enerji
Tasarrufu
(m3/yıl)</t>
  </si>
  <si>
    <t>Doğalgazın
Birim
Fiyatı
(TLm3)</t>
  </si>
  <si>
    <t>Alt Isıl Değer</t>
  </si>
  <si>
    <t>Birim Fiyat</t>
  </si>
  <si>
    <t>TL/kg-TL/m3</t>
  </si>
  <si>
    <t>Cihaz Verimi</t>
  </si>
  <si>
    <t>( % )</t>
  </si>
  <si>
    <t>Birim Enerji</t>
  </si>
  <si>
    <t>Maliyeti(TL/GJ)</t>
  </si>
  <si>
    <t>Linyit-Soma</t>
  </si>
  <si>
    <t>Doğalgaz-Knt</t>
  </si>
  <si>
    <t>kj/kg-kj/m3</t>
  </si>
  <si>
    <t>Linyit-İthal</t>
  </si>
  <si>
    <t>Fuel-Oil-4</t>
  </si>
  <si>
    <t>Elektrik</t>
  </si>
  <si>
    <t>LPG-Propan</t>
  </si>
  <si>
    <t>Motorin</t>
  </si>
  <si>
    <t>Birim Enerji Or.</t>
  </si>
  <si>
    <t>2-Kazan
Kapasitesi
(kcal/h)</t>
  </si>
  <si>
    <t>Fuel Oil
Kazan
Verimi
( % )</t>
  </si>
  <si>
    <t>Kalorif. Kazanı</t>
  </si>
  <si>
    <t>Fuel Oil İçin
Yıllık Yakıt
Miktarı
(kg/yıl)</t>
  </si>
  <si>
    <t>Fuel Oil 
Birim Fiyatı
(TL/kg)</t>
  </si>
  <si>
    <t>Doğalgaz
Alt Isıl
Değer
(kJ/m3</t>
  </si>
  <si>
    <t>Doğalgaz
Kazan
Verimi
( % )</t>
  </si>
  <si>
    <t>Doğalgaz
Birim Fiyatı
(TL/m3)</t>
  </si>
  <si>
    <t>Doğalgaz
 İçin
Yıllık Yakıt
Miktarı
(m3/yıl)</t>
  </si>
  <si>
    <t>Para 
Tasarrufu
(TL/yıl)</t>
  </si>
  <si>
    <t>Fuel Oil İçin
Yıllık Yakıt
Miktarının
Parasal Değeri
(TL/yıl)</t>
  </si>
  <si>
    <t>Doğalagaz
 İçin
Yıllık Yakıt
Miktarının
Parasal Değeri
(TL/yıl)</t>
  </si>
  <si>
    <t>1-Fueloil kazanın bugünkü şartlarda doğalgaz kazanına çevirmek parasal ve çevresel olarak avantajlıdır.</t>
  </si>
  <si>
    <t>Kömür
Kazan
Verimi
( % )</t>
  </si>
  <si>
    <t>Kömür
Birim Fiyatı
(TL/kg)</t>
  </si>
  <si>
    <t>Kömür
Alt Isıl
Değer
(kJ/kg</t>
  </si>
  <si>
    <t>Kömür
 İçin
Yıllık Yakıt
Miktarı
(kg/yıl)</t>
  </si>
  <si>
    <t>Kömür
Birim Fiyatı
(TL/m3)</t>
  </si>
  <si>
    <t>Kömür
 İçin
Yıllık Yakıt
Miktarının
Parasal Değeri
(TL/yıl)</t>
  </si>
  <si>
    <t>FuelOil
Alt Isıl
Değer
(kJ/kg)</t>
  </si>
  <si>
    <t>Kömür
Alt Isıl
Değer
 (kj/kg)</t>
  </si>
  <si>
    <t>Kömür İçin
Yıllık Yakıt
Miktarı
(kg/yıl)</t>
  </si>
  <si>
    <t>DG Kazanı</t>
  </si>
  <si>
    <t>Ayar-Verimilik
 Öncesi
Doğalgaz
Kazan
Verimi
( % )</t>
  </si>
  <si>
    <t>Ayar-Verimlilik
Sonrası
Doğalgaz
Kazan
Verimi
( % )</t>
  </si>
  <si>
    <t>Yıllık
Yakıt
Tasarrufu
(m3/yıl)</t>
  </si>
  <si>
    <t xml:space="preserve">1-Kazan Verimini arttırmak için 1-Kazanın hava-yakıt oranı optimize edilebilir ,2-kazan ve bacanın ısı yalıtımı ile yüzey kayıpları azaltılabilir , </t>
  </si>
  <si>
    <t>2-Kazan verimi(%)=100-(baca gazı kaybı)-(yüzey kaybı)-(blöf kaybı)</t>
  </si>
  <si>
    <t>3-Yanma veriminde % 1 lik artış % 1 lik yakıt tasarrufu sağlar. 4--</t>
  </si>
  <si>
    <t>4-Baca gazı analizörü doğrudan kazan verimini,baca gazı bileşim oranları,yanma sıaklığını gösterir.Merkezi sistemlerde kullanılması zorunludur.</t>
  </si>
  <si>
    <t>6-3,5 bar basınçta-%5 blöf durumunda % 1 yakıt kaybı-14 bar+%10 blöf te % 3 yakıt kaybı oluşur.</t>
  </si>
  <si>
    <t xml:space="preserve">5--Kazanlarda kullanılan suyun dışarı atılması(blöf) ile buhar kalitesi korunurken,kazan içi ısı transferi güçlendirilmiş olup aynı zamanda atılan su ile dışarı ısı atılır-yakıt kaybı </t>
  </si>
  <si>
    <t>7-Fuel Oil kazanlarda tam yükte yüzey kayıpları oranı:kazan kapasitesi(t/h)-tam yükte kayıp(%)=1 t/h..%1,9 ,2t/h..%1,5 , 4 t/h..%1,1 ,8 t/h…% 0,7 , 10 t/h…%0,5 , 20 t/h..%0,3</t>
  </si>
  <si>
    <t>8--Blöf(%)=Besleme suyu sertliği/(Blöf sertlik değeri(TDS)-Besleme suyu sertliği)*100  ,(0-20) bar için blöf sertlik değeri 3500 ppm, ,TDS(ppm)=-1530*LN(p(bar)+8080</t>
  </si>
  <si>
    <t>Kazan
Basıncı
(bar)</t>
  </si>
  <si>
    <t>Blöf
Sertlik
Değeri-TDS
(ppm)</t>
  </si>
  <si>
    <t>Blöf
Miktarı
(%)</t>
  </si>
  <si>
    <t>Besleme
Suyu
Sertlik
Değeri
(mg/L)</t>
  </si>
  <si>
    <t>8.1--15 mg/L(ppm) CaCO3 ' ın altınd.sular ÇOK YUMUŞAK,15-50 mg/L..YUMUŞAK, 50--100 ...ORTA SERT,  100--200…..  SERT,200 mg/L... üzerindeki sular ÇOK SERT ol.nitl.</t>
  </si>
  <si>
    <t>1--Yatırımın Geri Dönüşü-Para Tasarrufu Hesabı</t>
  </si>
  <si>
    <t>2-Blöf Oranı</t>
  </si>
  <si>
    <t xml:space="preserve">2-Doğalgaz </t>
  </si>
  <si>
    <t>1-Fuel Oil</t>
  </si>
  <si>
    <t>2-Kömür</t>
  </si>
  <si>
    <t>2-Doğalgaz</t>
  </si>
  <si>
    <t>Yıllık
Yakıt
Miktarı
(m3/yıl)</t>
  </si>
  <si>
    <t>Egzoz Gaz
Sıcaklığı
( C )</t>
  </si>
  <si>
    <t xml:space="preserve"> Ölçülen
Hava 
Fazlalık
Oranı
( % )</t>
  </si>
  <si>
    <t xml:space="preserve"> Çekilecek
Değer-Hava 
Fazlalık
Oranı
( % )</t>
  </si>
  <si>
    <t>Ölçülen İçin
Kullanılabilir
Isı Oranı
( % )</t>
  </si>
  <si>
    <t>Çekilecek
 İçin
Kullanılabilir
Isı Oranı
( % )</t>
  </si>
  <si>
    <t>Yakıt
Tasarrufu
Oranı
( % )</t>
  </si>
  <si>
    <t>Yapılacak
Yıllık
Yakıt
Tasarrufu
(m3/yıl)</t>
  </si>
  <si>
    <t>1-Öçülen Değerler</t>
  </si>
  <si>
    <t xml:space="preserve">2- Yapılan bir çalışmada bir tesiste üretim fazlası 350 Kpa-155 C-14911 kg/h debide buharın,tesiste bulunan fırınların yanma havasının ön ısıtılmasında kullnaılması halinde </t>
  </si>
  <si>
    <t>2.1- yıllık 1 milyon doların üzerinde tasarruf yapılması ve kendini 1 ayda geri ödeyeceği hesaplanmıştır.</t>
  </si>
  <si>
    <t>1.1- Bunun için kazan çıkşına kazana girecek havanın içinden geçtiği yanma havasını ısıtan bir eşanjörkonulması yeterlidir.</t>
  </si>
  <si>
    <r>
      <t>1-İşletmelerde oluşan atık ısının,kazanlarda bir reküperatör-ısı değiştirgeçi ile yakma havasının ısıtılması ile her 28 C</t>
    </r>
    <r>
      <rPr>
        <sz val="9"/>
        <rFont val="Arial Tur"/>
        <family val="0"/>
      </rPr>
      <t xml:space="preserve"> sıcaklık arışı ile yanma verimi % 1 arttırılabilir.</t>
    </r>
  </si>
  <si>
    <t xml:space="preserve"> Hava
Ön Isıtma
Sıcaklığı
( C )</t>
  </si>
  <si>
    <t>1-Yaklaşık Tasarruf</t>
  </si>
  <si>
    <t xml:space="preserve">
Havanın
Sıcaklığı
( C )</t>
  </si>
  <si>
    <t>Kazana
Giren Havanın
Isıtlıma Hedef Sıcaklığı
( C )</t>
  </si>
  <si>
    <t>Kazana
Giren Havanın
Isıtlıması İle
Sağlanan
Isı Kazanamı 
Q(kj/s  )</t>
  </si>
  <si>
    <t>İthal Kömür
Alt Isıl
Değer
(kJ/m3</t>
  </si>
  <si>
    <t>Kömür Kazanı</t>
  </si>
  <si>
    <t>Havanın 
Isıtılması
İle Oluşan
 Yeni Kazan
Verimi
( % )</t>
  </si>
  <si>
    <t>Kazan Verim
Artışına Bağlı
Oluşan Yakıt
Tasarrufu-2
( kg/yıl )</t>
  </si>
  <si>
    <t>2-Havanın Isıtılması</t>
  </si>
  <si>
    <t>Kazana Giren
Havanın Debisi
( kg/s)</t>
  </si>
  <si>
    <t>Havanın 
Isıtılması İle Oluşan Yakıt
Tasarrufu-3
( kg/yıl )</t>
  </si>
  <si>
    <t>Toplam Yakıt
Tasarrufu-(2+3)
( kg/yıl )</t>
  </si>
  <si>
    <t>Yapılacak
Teorik Yakıt
Tasarrufu-1
Yaklaşık
( % )</t>
  </si>
  <si>
    <t>2--Yalıtım zarar gördüğünde,eğer eski yalıtımla uyumlu olacak ise eski yalıtımın üzerine yeni yalıtım yapmak gerekir,uyumsuzluk olacak ise eski yalıtımı söküp yeni yalıtım yapmak gerekir.</t>
  </si>
  <si>
    <t>3--Yüzey sıcaklığına bağlı olarak yapılacak yalıtımın kalınlığı için:    t(mm)=0,05*T(yüzey sıcaklığı- (C ))+2 formülü kullanılabilir.</t>
  </si>
  <si>
    <t>Kalorifer Borusu</t>
  </si>
  <si>
    <t>Buhar Borusu
Çapı
( cm )</t>
  </si>
  <si>
    <t>Boru  Dış
Yüzey
Sıcaklığı
( C )</t>
  </si>
  <si>
    <t>Ortam
Sıcaklığı
( C )</t>
  </si>
  <si>
    <t>Isı Transfer
Katsayısı
( W/m2.C )</t>
  </si>
  <si>
    <t>Yalıtılacak
Boru
Uzunluğu
( m )</t>
  </si>
  <si>
    <t>Yalıtımsız
Isı Kaybı-1
( kj/s )</t>
  </si>
  <si>
    <t>Yalıtımlı
Isı Kaybı-2
( kj/s )</t>
  </si>
  <si>
    <t>2-Doğalgazlı
Buhar Kazan
Kapasitesi
(kcal/h)</t>
  </si>
  <si>
    <t>Yapılan Para 
Tasarrufu
(TL/yıl)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</si>
  <si>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baca gazı azalt-yüz kayb azalt-
h/y oranı  ayarı
(TL) </t>
    </r>
  </si>
  <si>
    <t>Yatırım Bedeli/
Yıllık Yakıt Maliyeti
(Yıl)</t>
  </si>
  <si>
    <r>
      <rPr>
        <b/>
        <sz val="11"/>
        <rFont val="Times New Roman"/>
        <family val="1"/>
      </rPr>
      <t>Yatırım 
Bedeli-</t>
    </r>
    <r>
      <rPr>
        <sz val="11"/>
        <rFont val="Times New Roman"/>
        <family val="1"/>
      </rPr>
      <t xml:space="preserve">
(TL) </t>
    </r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</si>
  <si>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(TL) </t>
    </r>
  </si>
  <si>
    <r>
      <rPr>
        <b/>
        <sz val="11"/>
        <rFont val="Times New Roman"/>
        <family val="1"/>
      </rPr>
      <t>Yatırım Bedeli-
Kazan 
Bedeli vs</t>
    </r>
    <r>
      <rPr>
        <sz val="11"/>
        <rFont val="Times New Roman"/>
        <family val="1"/>
      </rPr>
      <t xml:space="preserve">
(TL) </t>
    </r>
  </si>
  <si>
    <r>
      <rPr>
        <b/>
        <sz val="11"/>
        <rFont val="Times New Roman"/>
        <family val="1"/>
      </rPr>
      <t>Yatırım
Bedeli-
Kazan 
Bedeli vs</t>
    </r>
    <r>
      <rPr>
        <sz val="11"/>
        <rFont val="Times New Roman"/>
        <family val="1"/>
      </rPr>
      <t xml:space="preserve">
(TL) </t>
    </r>
  </si>
  <si>
    <r>
      <rPr>
        <b/>
        <sz val="11"/>
        <rFont val="Times New Roman"/>
        <family val="1"/>
      </rPr>
      <t>Yatırım
Bedeli</t>
    </r>
    <r>
      <rPr>
        <sz val="11"/>
        <rFont val="Times New Roman"/>
        <family val="1"/>
      </rPr>
      <t xml:space="preserve">
(TL) </t>
    </r>
  </si>
  <si>
    <r>
      <rPr>
        <b/>
        <sz val="11"/>
        <rFont val="Times New Roman"/>
        <family val="1"/>
      </rPr>
      <t>Yatırım Bedeli</t>
    </r>
    <r>
      <rPr>
        <sz val="11"/>
        <rFont val="Times New Roman"/>
        <family val="1"/>
      </rPr>
      <t xml:space="preserve">
Yüksek Verimli
Motor Fiyat
Farkı
(TL) </t>
    </r>
  </si>
  <si>
    <t>Yatırım Bedeli/
Yıllık Enerji Maliyeti
(Yıl)</t>
  </si>
  <si>
    <t>Yatırım  Bedeli/
Yıllık Enerji Maliyeti
(Yıl)</t>
  </si>
  <si>
    <t>1-  ABD de kullanılan enerjinin % 7 sini ve ticari binalrda ise % 25 ini oluşturmaktadır.</t>
  </si>
  <si>
    <t>3-- Ampullerin Güç-Ömür(saat),Verim(Lümen/W)-Kullanım Yeri:</t>
  </si>
  <si>
    <t>3.1--    1--Normal Ampul--15/100 W--1000 saat--4/25 Lm/W…Ev,İşyeri   ,                    2--Halojen Ampul-20/2000 W--2/3000 saat--20/25 Lm/W-Vitrin Aydınl.</t>
  </si>
  <si>
    <t xml:space="preserve">3.2--    3-- Normal Floresan Ampul-6-65 W--4/7000 saat--41/60 Lm/W--Ev,İşyeri  ,       4-- Kompaktl Floresan Ampul-9/25 W--8/10000 saat--50/83 Lm/W-Ev,İşyeri  </t>
  </si>
  <si>
    <t xml:space="preserve">3.3--    5-- Metal Halide Ampul-400-2000 W--2/6000 saat--56/125 Lm/W--AVM         ,  6-- Yüksek Basınçlı Civa Ampul-50/1000 W--7000 saat--40/60 Lm/W-Dış Ayd-Ofis </t>
  </si>
  <si>
    <t xml:space="preserve">3.4-- 7-- Yüksek Basınçlı Sodyum Ampul-50/1000 W--6000 saat--61/140 Lm/W-Dış Ayd. 8-- Düşük Basınçlı Sodyum Ampul-8/180 W--6000 saat--100/183 Lm/W-Dış Ayd </t>
  </si>
  <si>
    <t>Elektriğin
Birim Fiyatı
(TL/kwh)</t>
  </si>
  <si>
    <t>Lamba</t>
  </si>
  <si>
    <t>Mevcut
 Lamba
Gücü(W)</t>
  </si>
  <si>
    <t>Mevcut 
Lamba
Ömrü(saat)</t>
  </si>
  <si>
    <t>Mevcut 
Lamba
Fiyatı(TL)</t>
  </si>
  <si>
    <t>Önerilen
 Lamba
Gücü(W)</t>
  </si>
  <si>
    <t>Önerilen Lamba
Ömrü(saat)</t>
  </si>
  <si>
    <t>Önerilen 
Lamba
Fiyatı(TL)</t>
  </si>
  <si>
    <t>Önerilen
Lamba Ömrü 
İçin Gereken
Mevcut Lamba Sayısı</t>
  </si>
  <si>
    <t xml:space="preserve">Mevcut Aydınlatma Sisteminde
Toplam 
Maliyet
(TL) </t>
  </si>
  <si>
    <t>Mevcut 
Lamba
Sayısı(Ad)</t>
  </si>
  <si>
    <t>1--Mevcut Lamba:Akkor Flamanlı Lamba</t>
  </si>
  <si>
    <t>2--Önerilen Lamba:Kompakt Fluoresan Lamba</t>
  </si>
  <si>
    <t xml:space="preserve">Önerilen Lamba Ömrüne göre Mevcut Aydınlatma Sisteminde Enerji
Maliyeti
(TL) </t>
  </si>
  <si>
    <t xml:space="preserve">Önerilen Lamba İçin 
Aydınlatma Sisteminde
Toplam Lamba
Maliyeti
(TL) </t>
  </si>
  <si>
    <t xml:space="preserve">Mevcut Lamba İçin  
Aydınlatma Sisteminde
Toplam Lamba
Maliyeti
(TL) </t>
  </si>
  <si>
    <t xml:space="preserve">Önerilen Lamba Ömrü İçin Mevcut Lamba Sayısına Karşı Gelen 
Önerilen Lamba Sayısı
</t>
  </si>
  <si>
    <t xml:space="preserve">Önerilen
Aydınlatma Sisteminde
Toplam 
Maliyet
(TL) </t>
  </si>
  <si>
    <t>Yatırım-  Önerilen Lamba Bedeli/
Mevcut Yıllık Enerji Maliyeti
(Yıl)</t>
  </si>
  <si>
    <t>Yıllık 
Enerji-Para 
Tasarrufu
(TL/yıl)</t>
  </si>
  <si>
    <t xml:space="preserve">
Doğalgaz
Kazan
Verimi
( % )</t>
  </si>
  <si>
    <t>Isı Geri Kazanım Cihazı
Kullanımı ile Isıtmada Verim Artışı
( % 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</si>
  <si>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Isı Geri Kazanım Cihazı
(TL) </t>
    </r>
  </si>
  <si>
    <t>2--Cihaz</t>
  </si>
  <si>
    <t>Hava Soğ.Çiller</t>
  </si>
  <si>
    <t>2-Chiller
Kapasitesi
(kcal/h)</t>
  </si>
  <si>
    <t xml:space="preserve">
Chiller
Verimi
( % )</t>
  </si>
  <si>
    <t>Isı Geri Kazanım Cihazı
Kullanımı ile Soğutmada Verim Artışı
( % )</t>
  </si>
  <si>
    <t>Elektrik İçin
Alt Isıl
Değer
(kJ/m3</t>
  </si>
  <si>
    <t>1--Isıtmada</t>
  </si>
  <si>
    <t>2--Soğutmada</t>
  </si>
  <si>
    <t>Toplam Para 
Tasarrufu
(TL/yıl)</t>
  </si>
  <si>
    <t>3--Toplam</t>
  </si>
  <si>
    <t>Yıllık
Elektrik Enerjisi
Tasarrufu
(kwh/yıl)</t>
  </si>
  <si>
    <t>Bina Faydalı
İnşaat Alanı
(Isıtma Alanı)
(m2)</t>
  </si>
  <si>
    <t>Mevcut 
Isıtma Katsayısı
(kcal/h.m2)</t>
  </si>
  <si>
    <t>Binanın Harcadığı Isıtma Enerjisi
Kapasitesi
(kcal/h)</t>
  </si>
  <si>
    <t>Yıllık
Yakıt
Harcaması
(m3/yıl)</t>
  </si>
  <si>
    <t>Yıllık
Yakıt
Harcaması
Bedeli
(TL/yıl)</t>
  </si>
  <si>
    <t>Yapılan Isı Yalıtımı ile Sağlanan
Para Tasarrufu
(TL/yıl)</t>
  </si>
  <si>
    <t>Yapılan Isı Yalıtımı ile Sağlanan
Isıtma Katsayısı
(kcal/h.m2)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</si>
  <si>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1-3 cm manto+perl s
2-Çatı yalıtı-kir+izoc
3--Penc 16 mm çık
4--Cephe kapl.cam y
(TL) </t>
    </r>
  </si>
  <si>
    <t>1--Sistem</t>
  </si>
  <si>
    <t>Bina</t>
  </si>
  <si>
    <t>1-Yalıtılacak yüzeyin sıcaklığı, 15 C çevre sıcaklığının üzerinde ise yalıtım yapmak gerekir.Yalıtım Kalınlıkları:taşyünü sanayi şiltesi-40mm-700 C//Seramik elyaf battaniye-25 MM--1260 C-//Elastomerik kauçuk köpüğü-19 mm--40/105 C</t>
  </si>
  <si>
    <t>1-Isı  geri kazanım cihazları için iç ve dış ortam sıcaklıkları arasındaki fark 2 C nin üzerinde ise  sistemin işletilmesi ekonomik olmaktadır. 2--Isı geri kazanım cihazına bağlı toplam enerji kazancı karasal iklime sahip bölgelerde daha yüksektir.</t>
  </si>
  <si>
    <t>1-Kazan Verimini arttırmak için 1-Kazanın hava-yakıt oranı optimize edilebilir.Baca gazı ölçüm cihazı(testo 335(www.testo.com.tr)) ile yapılan analizde  yapılan analizde CO değerinin 100 ppm in üzerinde çıkması yanmanın verimsiz olduğunu gösterir ve brülör ayarları gerektirir.</t>
  </si>
  <si>
    <t>Beher 
Mevcut Manyetik
Balastlı 
 Lamba
Gücü(W)</t>
  </si>
  <si>
    <t xml:space="preserve">Mevcut Aydınlatma Sisteminde Enerji
Maliyeti
(TL) </t>
  </si>
  <si>
    <t>Elektronik Balast Kullanımı İle Sağlanan Tasarruf Oranı</t>
  </si>
  <si>
    <t xml:space="preserve">Elektronik Balast Kullanımı İle Sağlanan Enerji
Tasarrufu
(TL) </t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</si>
  <si>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(TL) </t>
    </r>
  </si>
  <si>
    <t>Motor</t>
  </si>
  <si>
    <t xml:space="preserve">
Beher 
Motor 
Gücü
(kw)</t>
  </si>
  <si>
    <t>Mevcut 
Motor
Sayısı
(Ad)</t>
  </si>
  <si>
    <t xml:space="preserve">Mevcut 
Elektrik Motor
Sisteminde 
Enerji
Maliyeti
(TL) </t>
  </si>
  <si>
    <t>İnverter
Kullanımı İle Sağlanan Tasarruf Oranı</t>
  </si>
  <si>
    <t xml:space="preserve">İnverter Kullanımı İle Sağlanan Enerji
Tasarrufu
(TL) </t>
  </si>
  <si>
    <t>9--Değişken hızlı hava kompresörleri ile sağlanan enerji tasarrufunda yatırım maliyetinin geri dönüşü 0.5-2 civarındadır.</t>
  </si>
  <si>
    <t>Haval.Fanı</t>
  </si>
  <si>
    <t>Beher 
Havalandırma Fanı
Gücü(W)</t>
  </si>
  <si>
    <t>Mevcut 
Fan
Sayısı(Ad)</t>
  </si>
  <si>
    <t xml:space="preserve">Mevcut Havalandırma Fanı 
Sisteminde Enerji
Maliyeti
(TL) </t>
  </si>
  <si>
    <t xml:space="preserve">Fanların Değişken Devre Dönüş-İnverter Takılması  İle
 Sağlanan Enerji
Tasarrufu
(TL) </t>
  </si>
  <si>
    <t>1--Isı yalıtımda çatıya kiremit+cam yünü,yada mertek üstü membran üzeri perlitli sıva üzeri açık renk su bazlı boya,dış duvara içten ve dıştan 1 er cm perlitli sıva+3 cm 24 dans beyaz-siyah strafor,tabanlara 1,5 cm perlitli sıva,camlara 16 mm ısı cam,dış cepheye su bazlı boya açık renk boya</t>
  </si>
  <si>
    <t>Otoprüdüktör</t>
  </si>
  <si>
    <t xml:space="preserve">
Mevcut Elektrik Sisteminde
Kurulu Güç
(kw)</t>
  </si>
  <si>
    <t>Otoprüdüktör
Kurulması İle
Sağlanan Verim
Artışı</t>
  </si>
  <si>
    <t xml:space="preserve">Mevcut Elektrik
Sisteminde Enerji
Maliyeti
(TL) </t>
  </si>
  <si>
    <t xml:space="preserve">Otoprodüktör Kurulumu İle Sağlanan Elektrik Enerji
Tasarrufu
(TL) </t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</si>
  <si>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Paket 
Otoprüdöktör
Sistemi
(TL) </t>
    </r>
  </si>
  <si>
    <t>DG BuharKazanı</t>
  </si>
  <si>
    <t>Isı Geri Kazanım Cihazı
Kullanımı  Buhar Kazanı Suyunun Isıtılmısı İle Sağlanan Verim Artışı
( % )</t>
  </si>
  <si>
    <t>1--Tekstilde sıcak kirli-atık sudan,ısı geri kazanım sistemi,soğuk su temiz suyun başlangıç değerine kadar(6-7 C) ye kadar ısıtılır.Karlı bir yatırım olan sistemin geri ödeme süresi 4-8 ay kadar olabilir.</t>
  </si>
  <si>
    <t>Bina Faydalı
Pencere Cam 
Alanı
(m2)</t>
  </si>
  <si>
    <t>Pencerelerden
Dışarıya İletilen
IsıtmaEnerjisi
(kcal/h)</t>
  </si>
  <si>
    <t>Pencerelere İçten Sürülebilir Kristalbond Uygulaması ile Soğutmada Sağlanan
Verim (%)</t>
  </si>
  <si>
    <t>Pencerelere 
İçten Sürülebilir Kristalbond Uygulaması ile Isıtmada Sağlanan
Verim (%)</t>
  </si>
  <si>
    <t>Yapılan 
Kristalbond 
Uygulaması ile 
Isıtmada Sağlanan
Para Tasarrufu
(TL/yıl)</t>
  </si>
  <si>
    <t>Mahal
Soğutma 
Kapasitesi
(kw)</t>
  </si>
  <si>
    <t>Yıllık
Elektrik
Harcaması
(kwh/yıl)</t>
  </si>
  <si>
    <t>Mahal
Soğutma 
Cihazı Gücü
(kw)</t>
  </si>
  <si>
    <t>Elektrik
Birim Fiyatı
(TL/kwh)</t>
  </si>
  <si>
    <t>Yıllık
Elektrik
Harcaması
Bedeli
(TL/yıl)</t>
  </si>
  <si>
    <t>Yapılan 
Kristalbond 
Uygulaması ile 
Soğutmada 
Sağlanan
Para Tasarrufu
(TL/yıl)</t>
  </si>
  <si>
    <t>Yapılan 
Kristalbond 
Uygulaması ile 
Isıt+Soğut
Sağlanan Toplam
Para Tasarrufu
(TL/yıl)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</si>
  <si>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İçten Kristalbond
Uygulaması
(TL) </t>
    </r>
  </si>
  <si>
    <t>Termostatik Vana
Kullanımı ile Sağlanan
 Verim Artışı
( % 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</si>
  <si>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Termostatik
 Vana
Bedeli
(TL) </t>
    </r>
  </si>
  <si>
    <t>Jeotermal Enerji
Kullanımı ile 
Sağlanan
 Verim Artışı
( % 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</si>
  <si>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Kömürlü Sistemin
Jeotermale Çevrimi
Bedeli
(TL) </t>
    </r>
  </si>
  <si>
    <t>Kömür Buh Kazn.</t>
  </si>
  <si>
    <t>1--Jeotermal enerjide br fiyat 0,28 TL/kcal/h alınabilir.Bu yatırımın %0,4 proje maliyeti,%0,3 dökümantasyon,%33 kuyu açılması,%4.6 kuyu donamım,%13 ana hat,%8.5 ısı merkezi,%22 dağıtım,%19 alt yapı hizmetinden oluşabilir.</t>
  </si>
  <si>
    <t>2--Jeotermal sistemle ısıtılacak konutlda daire başına bağlantı ücreti 1250 dolar=2275 TL ve aylık enerji kullanım ücreti 21 dolar=38 TL olarak kabul edilebilir.</t>
  </si>
  <si>
    <t>Kaynakça:Sanayide Enerji Tasarrufu Yöntemleri-Prof.Dr.Mehmet Kanoğlu-G.Antep Üniv.Mak.Müh.Bölümü-2007--http://www.emo.org.tr/ekler/f03c8237bf6d4ab_ek.pdf</t>
  </si>
  <si>
    <t xml:space="preserve">HES </t>
  </si>
  <si>
    <t xml:space="preserve">
HES Akarsu
Debi
(m3/s)</t>
  </si>
  <si>
    <t xml:space="preserve">
HES Akarsu
Düşü
(m)</t>
  </si>
  <si>
    <t xml:space="preserve">
HES Dizayn
Türbin Gücü
(kw)</t>
  </si>
  <si>
    <t xml:space="preserve">1-Güç Sıralaması: P &gt; 100 MW Büyük hidrolik tesis--100 MW &gt; P &gt; 20 MW Orta büyükl tesis-20 MW &gt; P &gt; 1 MW Küçük tesis--1000 kW &gt; P &gt; 20 kW Mini tesis-20 kW &gt; P (Güç) Mikro tesis </t>
  </si>
  <si>
    <t xml:space="preserve">
HES Dizayn
Yıllık Elektrik Üretimi
(kwh)</t>
  </si>
  <si>
    <t xml:space="preserve">
HES İlk Yatırım Bedeli
(Euro)</t>
  </si>
  <si>
    <t xml:space="preserve">
HES Üretilen Enerjinin 
İşletme
Karı-(Euro)</t>
  </si>
  <si>
    <t xml:space="preserve">
HES Üretilen Enerjinin 
YEK Satış 
Bedeli-(Euro)-
(0,055 EU/kwh) </t>
  </si>
  <si>
    <t xml:space="preserve">
HES Üretilen Enerjinin 
İşletme Maliyeti
 Bakım Bedeli-(Euro)
(0,010 EU/kwh) </t>
  </si>
  <si>
    <t xml:space="preserve">Jeotermal </t>
  </si>
  <si>
    <t>1--Sıcaklığa Göre Sıralama: Yüksek sıcaklıklı alanlar (150 °C'dan fazla)--Orta sıcaklıklı (70 °C - 150 °C)--Düşük sıcaklıklı alanlar (70 °C'dan düşük)</t>
  </si>
  <si>
    <t xml:space="preserve">
Jeotermal Türbin Dizayn
Debi
(m3/s)</t>
  </si>
  <si>
    <t xml:space="preserve">
Jeotermal Türbin 
 Gücü
(kw)</t>
  </si>
  <si>
    <t xml:space="preserve">
Jeotermal Elektrik Santrali
Yıllık Elektrik Üretimi
(kwh)</t>
  </si>
  <si>
    <t xml:space="preserve">
Jeotermal Elektrik Santrali
 İlk Yatırım Bedeli
(Euro)</t>
  </si>
  <si>
    <t xml:space="preserve">
Jeotermal Elektrik Santrali İle
 Üretilen Enerjinin 
İşletme
Karı-(Euro)</t>
  </si>
  <si>
    <t xml:space="preserve">
Jeotermal Türbin Üretim Sıcaklığı
(Atım Sıcaklığı:85 C)
(C)</t>
  </si>
  <si>
    <t>Rüzgar Türbini</t>
  </si>
  <si>
    <t xml:space="preserve">
Rüzgar Türbin 
Kanat Çapı
(m)</t>
  </si>
  <si>
    <t xml:space="preserve">
Rüzgar Türbin Ölçüm Hızı
(m/s)</t>
  </si>
  <si>
    <t xml:space="preserve">
Rüzgar Türbin 
 Gücü
(kw)</t>
  </si>
  <si>
    <t xml:space="preserve">
Rüzgar Türbin 
Yıllık Elektrik Üretimi
(kwh)</t>
  </si>
  <si>
    <t xml:space="preserve">
Rüzgar Türbin 
 İlk Yatırım Bedeli
(Euro)</t>
  </si>
  <si>
    <t xml:space="preserve">
Rüzgar Türbin İle
 Üretilen Enerjinin 
YEK Satış 
Bedeli-(Euro)-
(0,055 EU/kwh) </t>
  </si>
  <si>
    <t xml:space="preserve">
Rüzgar Türbin İle Üretilen Enerjinin 
İşletme Maliyeti
 Bakım Bedeli-(Euro)
(0,010 EU/kwh) </t>
  </si>
  <si>
    <t xml:space="preserve">
Rüzgar Türbin Elektrik Santrali İle
 Üretilen Enerjinin 
İşletme
Karı-(Euro)</t>
  </si>
  <si>
    <t xml:space="preserve">
Jeotermal Elekt.Sant İle Üretilen Enerjinin 
İşletme Maliyeti
 Bakım Bedeli-(Euro)
(0,010 EU/kwh) </t>
  </si>
  <si>
    <t>4--Rüzgar türbinlerinin ortalama ömrü 25  yıldır.</t>
  </si>
  <si>
    <t>1--Bilgi: 1--50 metredeki Rüzgar hızı 7 m/s veya üzeri olmalıdır.2--50 metredeki Kapasite faktörü %35 veya üzeri olmalıdır. 3--Trafo Merkezleri yada Enerji iletim Hatlarına yakın yerler tercih edilm.</t>
  </si>
  <si>
    <t>D.Güneş Koll.</t>
  </si>
  <si>
    <t xml:space="preserve">
Düzlemsel
Güneş 
Kollektörü 
Sistem
Sıcak Su 
İhtiyacı
(kcal/h)</t>
  </si>
  <si>
    <t xml:space="preserve">
Düzlemsel
Güneş 
Kollektörü 
Sistem Sıcak Su Üretimi
(kwh)</t>
  </si>
  <si>
    <t xml:space="preserve">
Düzlemsel
Güneş 
Kollektörü
 İlk Yatırım Bedeli
(Euro)</t>
  </si>
  <si>
    <t>Doğalgazlı 
Kazan  İle
 Üretilen 
Enerjinin 
 Satış 
Bedeli(Euro)</t>
  </si>
  <si>
    <t xml:space="preserve">
Düzlemsel
Güneş 
Kollektörü İle Üretilen Enerjinin 
İşletme Maliyeti
 Bakım Bedeli-(Euro)
(0,0020 EU/kwh) </t>
  </si>
  <si>
    <t xml:space="preserve">
Düzlemsel
Güneş 
Kollektörü İle Üretilen Enerjinin 
İşletme
Karı-(Euro)</t>
  </si>
  <si>
    <t>Düzlemsel
Güneş 
Kollektörü 
Sistem
Sıcak Su 
İhtiyacı
(kw)</t>
  </si>
  <si>
    <t>Fotovolatik Panel</t>
  </si>
  <si>
    <t>Fotovolatik Panel İçin Konut
Sistem Elektrik
İhtiyacı
Kurulu Güç
(kw)</t>
  </si>
  <si>
    <t xml:space="preserve">
Fotovolatik Panel
SistemElektrik Üretimi
(kwh)</t>
  </si>
  <si>
    <t xml:space="preserve">
Fotovolatik 
Panel
 İlk Yatırım 
Bedeli
(Euro)</t>
  </si>
  <si>
    <t>Fotovolatik 
Panel İle
 Üretilen 
Elektriğin
 Satış 
Bedeli(Euro)</t>
  </si>
  <si>
    <t xml:space="preserve">
Fotovolatik 
Panel ile 
Üretilen Enerjinin 
İşletme Maliyeti
 (Euro)
(0,0020 EU/kwh) </t>
  </si>
  <si>
    <t xml:space="preserve">
Jeotermal Elektrik Santrali İle
 Üretilen Enerjinin 
YEK Satış 
Bedeli-(Euro)-
(0,0105 EU/kwh) </t>
  </si>
  <si>
    <t>1--Çalışma basınç aralığının 0.5 bar olduğu bir kompresörde, tipik yükte ve boşta (unload) çalışma ile kıyaslandığındaSağlanan enerji tasarrufu oranı % 50'lere kadar çıkabilmektedir.</t>
  </si>
  <si>
    <t>2--Değişken hızlı hava kompresörlerinden elde edilen enerji tasarrufuyla yatırım maliyetinin geri dönüş zamanının 0.5-2 yıl civarındadır.</t>
  </si>
  <si>
    <t xml:space="preserve">3--Değişken hız sürücülerinin, load - unload çalışan standart kompresörlere uygulanması ile yeni jenerasyon değişken hızlı kompresörlerdekine benzer enerji tasarruf miktarlarının sağlanması mümkündür. </t>
  </si>
  <si>
    <t>Güneş Kollektörü İle Havuz Suyunun  Isıtılmısı İle Sağlanan Verim Artışı
( % 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</si>
  <si>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Güneş Kollektörü
Tesisatı ve Boyler
Kurulumu
(TL) </t>
    </r>
  </si>
  <si>
    <t>1--Havuz Isıtma Yükünün  Antalya/Adana -%42 si--İstanbul da % 30 u--Ankara da % 32 si Güneş Kollektörleri ile karşılanabilir.</t>
  </si>
  <si>
    <t>1--HYDROMX sıvısı-solüsyonu paslanma-kireçlenmeye karşı etkili olup solüsyon suya %50 oranında karıştırılarak  5 yıl boyunca %35 ısıl tasarruf sağlıyor.www. hydromx.com</t>
  </si>
  <si>
    <t>Kalorifer Borularında
Su Yerine Hydromx
Kullanılması ile Sağlanan Verim Artışı
( % 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</si>
  <si>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Kalorifer Borusuna
Su Yerine Hydromx
Katılması Kurulumu
(TL) </t>
    </r>
  </si>
  <si>
    <t>1-Güneş kollektörülü sıcak su sist.sıcak suyun depolaman toprak depolaması olması,dairel katılımı için merdiven sahanl. kollekt 1 çift boru(gidiş+dönüş) ve bunlara daire içinden gidiş,dönüşlerinde daire kombi girişine bağl.</t>
  </si>
  <si>
    <t>Ekonomizer
Kullanımı ile Sağlanan
 Verim Artışı
( % )</t>
  </si>
  <si>
    <t>1--Kazan baca bağlantısında araya ekonomizer kullanılması ile kalorif dönüş hattından gelen dönüş suyu ekonomizerde baca gazları ile ısıtılarak,kazana ısınmış su girmesi ile ısıtmada-buhar vs tasarruf sağl.</t>
  </si>
  <si>
    <t>Aydınlatma
Alanına 
Konacak
Beher Solartube 
Sayısı</t>
  </si>
  <si>
    <t xml:space="preserve">
Beher 
Solartube 
Fiyatı(dolar)</t>
  </si>
  <si>
    <t xml:space="preserve"> Solartube 
ile 
Aydınlatılacak 
 Toplam 
Alan(m2)</t>
  </si>
  <si>
    <t xml:space="preserve">
Toplam
Solartube 
Maliyeti(TL)</t>
  </si>
  <si>
    <t xml:space="preserve">
Aydınlatma
Alanında
Harcanan
Mevcut
Lamba Sayısı</t>
  </si>
  <si>
    <t>Mevcut
 Beher Lamba
Gücü(W)</t>
  </si>
  <si>
    <t xml:space="preserve">Mevcut Aydınlatma Sisteminde Yıllık 
Enerji Maliyeti
(TL) </t>
  </si>
  <si>
    <t>2-Süpermarketlerde gün ışığı uygulaması ile satışlarda % 40 artış sağlanabilmektedir.Gün ışığı aydınlatmasıyla işyerlerinde iş verimi ve enerji tasarrufu sağlanabilir</t>
  </si>
  <si>
    <t>Not:Sarı renkli kutucuklar,giriş(sayı), diğer renkler hesap(formül) için kullanılmıştır.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</si>
  <si>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Ekonomizer ve bağlantı
Bedeli
(TL) </t>
    </r>
  </si>
  <si>
    <t>Not:1-Gün ışığı  uzunluğu 6-9(max 12 m) m ve çapı 25-35 cm  ve aydınlt alanı 20-28 m2 olan içi aydınlık  fleks borularla içerdeki armatürlere aktarılmakta  gün  ışığı iç armatür ile tavandan ortama dağıtmaktadır</t>
  </si>
  <si>
    <t>Yatırımın
Geri
Ödeme
Süresi
(Ay)</t>
  </si>
  <si>
    <t>1-ELEKTRİK MOTORLARI VERİMLİLİK YATIRIM HESAPLARI</t>
  </si>
  <si>
    <t>ENERJİ -SU TASARRUFU VE YENİLENEBİLİR ENERJİ HESAPLARI</t>
  </si>
  <si>
    <t>1.1-YÜKSEK VERİMLİ MOTOR KULLANIMI İLE YAPILAN TASARRUF:</t>
  </si>
  <si>
    <t>1.2-ELEKTRİK MOTORLARINDA HIZ KONTROL SİSTEMİ(İNVERTER) KULLANIMI İLE YAPILAN TASARRUF:</t>
  </si>
  <si>
    <t>2-MEKANİK TESİSAT VERİMLİLİK YATIRIM HESAPLARI</t>
  </si>
  <si>
    <t>2.1-BASINÇLI HAVA SİSTEM KAÇAKLARIININ GİDERİLMESİ İLE YAPILAN TASARRUF:</t>
  </si>
  <si>
    <t>2.2-BASINÇLI HAVA SİSTEMİNDE DÜŞÜK BASINÇLI HAVA KULLANIMI İLE YAPILAN TASARRUF:</t>
  </si>
  <si>
    <t>2.3-KOMPRESÖR MOTORLARINDA HIZ KONTROL SİSTEMİ(İNVERTER) KULLANIMI İLE YAPILAN TASARRUF:</t>
  </si>
  <si>
    <t>2.4-KOMPRESÖR HAVASININ DÜŞÜK SICAKLIKLI DIŞ ORTAMDAN ALINMASI  İLE YAPILAN TASARRUF:</t>
  </si>
  <si>
    <t>2.5-HAVALANDIRMA-KLİMA SİSTEMİNDE DEĞİŞKEN DEVİRLİ FAN KULLANIMI İLE  YAPILAN TASARRUF:</t>
  </si>
  <si>
    <t>2.6-KOMPRESÖRDE SIKIŞTIRILAN HAVANIN SICAKLIĞINDAN KIŞIN ORTAM ISITMASI YAPILMASI İLE YAPILAN TASARRUF:</t>
  </si>
  <si>
    <t>2.7-YAKITLARIN BİRİM ENERJİ MALİYETLERİ TABLOSU-01/01/2013</t>
  </si>
  <si>
    <t>2.8.1-FUELOİL KAZANIN DOĞALGAZ KAZANA DEĞİŞİMİ İLE YAPILAN TASARRUF:</t>
  </si>
  <si>
    <t>2.8.2-FUELOİL KAZANIN KÖMÜR KAZANA DEĞİŞİMİ İLE YAPILAN TASARRUF:</t>
  </si>
  <si>
    <t>2.8.3-KÖMÜR KAZANIN DOĞALGAZ KAZANA DEĞİŞİMİ İLE YAPILAN TASARRUF:</t>
  </si>
  <si>
    <t>2.9-KAZAN VERİMİNİN ARTTIRILMASI İLE YAPILAN TASARRUF:</t>
  </si>
  <si>
    <t>2.10-KAZANLARDA HAVA YAKIT ORANININ OPTİMİZE EDİLMESİ İLE VERİMİNİN ARTTIRILMASI SONUCU YAPILACAK TASARRUF:</t>
  </si>
  <si>
    <t>2.11-KAZANLARDA YAKMA HAVASININ ISITILMASINA BAĞLI OLARAK VERİMİNİN ARTTIRILMASI SONUCU YAPILACAK TASARRUF:</t>
  </si>
  <si>
    <t>2.12-KALORİFER BORULARININ YALITILMASI  İLE  YAPILACAK TASARRUF:</t>
  </si>
  <si>
    <t>2.13-ISITMA VE SOĞUTMA TESİSATINDA ISI GERİ KAZANIM CİHAZI KULLANILMASI İLE YAPILAN TASARRUF:</t>
  </si>
  <si>
    <t>2.14-TEKSTİL ATIK SUYU ISI GERİ KAZANIM CİHAZI KULLANILMASI İLE YAPILAN TASARRUF:</t>
  </si>
  <si>
    <t>2.15-BUHAR KAZANLARINDA FLAŞ BUHAR GERİ KAZANIM CİHAZI KULLANILMASI İLE YAPILAN TASARRUF:</t>
  </si>
  <si>
    <t>2.16-KALORİFER TESİSATINDA ,KALORİFER BORULARINDA SU YERİNE HYDROMX SIVISI-SOLÜSYONU KULLANILMASI İLE SAĞLANACAK ISITMA ENERJİSİ TASARRUFU:</t>
  </si>
  <si>
    <t>2.17-HAVUZ ISITMA YÜKÜNÜN GÜNEŞ ENERJİSİ İLE KARŞILANMASI DURUMUNDA YAPILACAK ISITMA ENERJİSİ TASARRUFU:</t>
  </si>
  <si>
    <t>2.18-JEOTERMAL ENERJİ KULLANILMASI İLE YAPILAN TASARRUF:</t>
  </si>
  <si>
    <t>2.19-DÜZLEMSEL GÜNEŞ KOLLEKTÖRÜ İLE SICAK SU ÜRETİMİ YATIRIM KAR HESABI:</t>
  </si>
  <si>
    <t>2.20-ISITMA CİHAZLARINDA(RADYATÖR VS) TERMOSTATİK VANA KULLANILMASI İLE YAPILAN TASARRUF:</t>
  </si>
  <si>
    <t>3-ISI YALITIMI VERİMLİLİK YATIRIM HESABI</t>
  </si>
  <si>
    <t>3.1--ISI YALITIMI(MANTOLAMA) İLE YAPILAN TASARRUF:</t>
  </si>
  <si>
    <t>3.2--PENCERELERDE YANSITICI FİLM (KRİSTAL BOND UYGUALAMASI) İLE YAPILAN TASARRUF:</t>
  </si>
  <si>
    <t>4-AYDINLATMA SİSTEMLERİ VERİMLİLİK YATIRIM HESABI</t>
  </si>
  <si>
    <t>4.1-YÜKSEK VERİMLİ LAMBA KULLANIMI İLE AYDINLATMA SİSTEMİNDE YAPILAN TASARRUF:(ÖNERİLEN LAMBA ÖMRÜNE GÖRE YAPILAN HESAP)</t>
  </si>
  <si>
    <t>4.2-GÜN IŞIĞI AYDINLATMA-SOLARTUBE SİSTEMİ  İLE  AYDINLATMA SİSTEMİNDE YAPILAN TASARRUF:</t>
  </si>
  <si>
    <t>4.3-MANYETİK BALASTLARIN YERİNE ELEKTRONİK BALAST KULLANIMI İLE  AYDINLATMA SİSTEMİNDE YAPILAN TASARRUF:</t>
  </si>
  <si>
    <t>4.4-ÇOK KRİSTAL SİLİSYUMLU FOTOVOLTAİK PANEL İLE ELEKTRİK ÜRETİMİ YATIRIM KAR HESABI:</t>
  </si>
  <si>
    <t>5-YENİLENEBİLİR ENERJİ YATIRIM HESABI</t>
  </si>
  <si>
    <t>5.1-HES KURULUMU YATIRIM KAR HESABI:</t>
  </si>
  <si>
    <t>5.2-JEOTERMAL ELEKTRİK ÜRETİMİ YATIRIM KAR HESABI:</t>
  </si>
  <si>
    <t>5.3-RÜZGAR SANTRALİ İLE ELEKTRİK ÜRETİMİ YATIRIM KAR HESABI:</t>
  </si>
  <si>
    <t>6-SU TASARRUFU YATIRIM HESABI</t>
  </si>
  <si>
    <t>1--Konut</t>
  </si>
  <si>
    <t>Su Tasarrufu</t>
  </si>
  <si>
    <t xml:space="preserve">
Daire Sayısı
(Ad)</t>
  </si>
  <si>
    <t xml:space="preserve">
Dairelenin
Toplam 
Yıllık Su 
Harcaması
(m3)</t>
  </si>
  <si>
    <t xml:space="preserve">
İSKİ Birim
Su Fiyatı
(TL)</t>
  </si>
  <si>
    <t xml:space="preserve">
Dairelenin
Toplam 
Yıllık Su 
Harcaması 
Maliyeti
(TL)</t>
  </si>
  <si>
    <t>1-Musluklara
Su Tasarruf Perlatörü Takılması İle Sağlanan
Tasarruf
(TL)</t>
  </si>
  <si>
    <t>2--6 Lt lik 
Klozetlerin
 4 Lt ile 
Değiştirilmesi İle Sağlanan
Tasarruf
(TL)</t>
  </si>
  <si>
    <t>3--Duş Başlıklarına
Su Tasarruf Perlatörü Takılması İle Sağlanan
Tasarruf
(TL)</t>
  </si>
  <si>
    <t>Yıllık Toplam
1+2+3 Tasarruf
(TL)</t>
  </si>
  <si>
    <t>2-Su Tasarruf Perlatörlerleri ile %13-Fotoselli musluk ile % 50 --Klozeti 6 Lt den 4 Lt değiştirmekle % 38 tasarruf sağlanabilir.</t>
  </si>
  <si>
    <t>1--Konutlarda daire başına aylık su tüketimi normal 12-15 m3-bahçeli ev 24 m3 -günlük normal 450 Lt alın.Bunun % 17 si musluklara,% 26 WC de,%16 sı Duş için,% 17 Çam Mak. Kullanılır.Lavabo başına 60 Lt,Duşiçin 150 Lt alına</t>
  </si>
  <si>
    <t>6.1--KONUTLARDA PERLATÖR KULLANILARAK YAPILAN SU TASARRUFU YATIRIM- KAR HESABI:</t>
  </si>
  <si>
    <t>1--Bahçeli 
Konut</t>
  </si>
  <si>
    <t xml:space="preserve">
1-Klozetlere 
Gri Su Hattı 
Bağlanması Suretiyle Yapılan Su Tasarruf
(TL)</t>
  </si>
  <si>
    <t xml:space="preserve">
2-Bahçe Sulama Sistemine 
Gri Su Hattı Bağlanması Suretiyle Yapılan
 Su Tasarrufu
(TL)</t>
  </si>
  <si>
    <t>Yıllık Toplam
1+2 Tasarruf
(TL)</t>
  </si>
  <si>
    <t>1--Konutlarda bahçeli daire başına aylık su tüketimi normal 25 m3-bahçeli-günlük normal daire için 450 Lt,sulama için 400 Lt alın.Bunun % 60 si konut,% 40 sulama için kullanılabilir.</t>
  </si>
  <si>
    <t>2-Yüklenici firmalar tarafından yapılacak Gri su tesisatı kurulumu için daire başına 1500-2000 TL olarak alınabilir.</t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</si>
  <si>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Gri su tesisatı
Kurulumu
(TL) </t>
    </r>
  </si>
  <si>
    <t>6.2--KONUTLARDA GRİSU TESİSATI KURULARAK  YAPILAN SU TASARRUFU YATIRIM- KAR HESABI:</t>
  </si>
  <si>
    <t>6.3--İŞMERKEZLERİNDE PERLATÖR-GRİSU TES. KULLANILARAK YAPILAN SU TASARRUFU YATIRIM- KAR HESABI:</t>
  </si>
  <si>
    <t>1--İş Merkezi</t>
  </si>
  <si>
    <t xml:space="preserve">
Birim Tüketim Grubu(WC+Duş Teknesi+Lavabo) Sayısı
(Ad)</t>
  </si>
  <si>
    <t>2--Duş Başlıklarına
Su Tasarruf 
Perlatörü 
Takılması İle 
Sağlanan
Tasarruf
(TL)</t>
  </si>
  <si>
    <t xml:space="preserve">
3-Klozetlere 
Gri Su Hattı 
Bağlanması Suretiyle Yapılan Su Tasarruf
(TL)</t>
  </si>
  <si>
    <t xml:space="preserve">
4-Bahçe Sulama Sistemine 
Gri Su Hattı Bağlanması Suretiyle Yapılan
 Su Tasarrufu
(TL)</t>
  </si>
  <si>
    <t>Yıllık Toplam
1+2+3+4
 Tasarruf
(TL)</t>
  </si>
  <si>
    <t>1--Lavabo başına 60 Lt,Duşiçin 120 Lt alınabilir.</t>
  </si>
  <si>
    <t>1--İşyerlerinde Birim Tüketim Grubu Sayısı başına aylık su tüketimi normal 7,2 m3--bahçe için 4 m3-toplam 11,2 m3 -günlük normal 375 Lt alın.Bunun % 35 si bahçe sulama,% 17 WC de,%17 sı lavabo-%34 duş için alınabilir.</t>
  </si>
  <si>
    <t xml:space="preserve">
İş Merkezinin
Toplam 
Yıllık Su 
Harcaması
(m3)</t>
  </si>
  <si>
    <t xml:space="preserve">
İş Merkezinin
Toplam 
Yıllık Su 
Harcaması 
Maliyeti
(TL)</t>
  </si>
  <si>
    <r>
      <t xml:space="preserve">Yıllık
Enerji
</t>
    </r>
    <r>
      <rPr>
        <b/>
        <sz val="11"/>
        <rFont val="Times New Roman"/>
        <family val="1"/>
      </rPr>
      <t>Tasarrufu</t>
    </r>
    <r>
      <rPr>
        <sz val="11"/>
        <rFont val="Times New Roman"/>
        <family val="1"/>
      </rPr>
      <t xml:space="preserve">
(kwh/y)</t>
    </r>
  </si>
  <si>
    <t>Kompresörün
Harcadığı 
Yıllık Enerji
Miktarı
(kwh/y)</t>
  </si>
  <si>
    <t>Kompresörün
Harcadığı 
Yıllık Enerji
Maliyeti
(TL)</t>
  </si>
  <si>
    <t xml:space="preserve">    basıncını yükseltmek yerine çalışma noktalarına yakın yerlere basınçlı hava tankı koymak çözüm olabilir.</t>
  </si>
  <si>
    <t>Kompresörün
Harcadığı
Yıllık Enerji
Miktarı
(kwh/y)</t>
  </si>
  <si>
    <t>Kompresörün
Harcadığı
Yıllık Enerji
Maliyeti
(TL)</t>
  </si>
  <si>
    <t xml:space="preserve">Hız Kontrol Kullanımı İle Sağlanan Enerji
Tasarrufu
(TL) </t>
  </si>
  <si>
    <r>
      <rPr>
        <b/>
        <sz val="11"/>
        <rFont val="Times New Roman"/>
        <family val="1"/>
      </rPr>
      <t>Yatırım-Toplam
Hız Kontrol 
Cihazı
Bedeli</t>
    </r>
    <r>
      <rPr>
        <sz val="11"/>
        <rFont val="Times New Roman"/>
        <family val="1"/>
      </rPr>
      <t xml:space="preserve">
(TL) </t>
    </r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</si>
  <si>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Hız Kontrol
Cihazı
Takılması
(TL) </t>
    </r>
  </si>
  <si>
    <t>Fanalara Hız Kontrol
Cihazı Takılması İle Sağlanan Tasarruf Oranı</t>
  </si>
  <si>
    <t>Floresan Lamba</t>
  </si>
  <si>
    <t>Elektrikli Klima</t>
  </si>
  <si>
    <t>2-Elektrikli Klima
Kapasitesi
(kW)</t>
  </si>
  <si>
    <t xml:space="preserve">
Klima Cihazı
Verimi-COP</t>
  </si>
  <si>
    <t>Elektrikli Klima
Harcadığı
Elektrik Enerjisi
(kw)</t>
  </si>
  <si>
    <t xml:space="preserve">Mevcut Klima
Sisteminde Enerji
Maliyeti
(TL) </t>
  </si>
  <si>
    <t>Doğalgazlı Klima
Harcadığı
Doğalgaz-Yakıt Miktarı
(m3/yıl)</t>
  </si>
  <si>
    <t>Yıllık Doğalgaz
Enerji Maliyeti 
Harcaması
(TL/yıl)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</si>
  <si>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Doğalgazlı
Klima Maliyeti
(TL) </t>
    </r>
  </si>
  <si>
    <t>2.21-KLİMA SİSTEMİNDE ELEKTRİK YERİNE DOĞALGAZ KULLANILMASI İLE YAPILAN TASARRUF:</t>
  </si>
  <si>
    <t>2.21-KLİMA SİSTEMİNDE ELEKTRİK YERİNE FOTOVOLTAİK PANEL KULLANILMASI İLE YAPILAN TASARRUF:</t>
  </si>
  <si>
    <r>
      <rPr>
        <b/>
        <sz val="11"/>
        <rFont val="Times New Roman"/>
        <family val="1"/>
      </rPr>
      <t>Yatırım Bedeli</t>
    </r>
    <r>
      <rPr>
        <sz val="11"/>
        <rFont val="Times New Roman"/>
        <family val="1"/>
      </rPr>
      <t xml:space="preserve">
Fotovoltaik
Panel ve Kart
Maliyeti
(TL) </t>
    </r>
  </si>
  <si>
    <t>2.22-KAZAN BACA BAĞLANTISINDA EKONOMİZER İLE YAPILAN TASARRUF:</t>
  </si>
  <si>
    <t>2.23-KOJENERASYON-OTOPRÜDÖKTÖR TESİSİ KURULMASI İLE ELEKTRİK ÜRETİM MALİYETİNDE SAĞLANAN TASARRUF: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</si>
</sst>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1" fontId="6" fillId="9" borderId="1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9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2" fontId="6" fillId="9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 wrapText="1"/>
    </xf>
    <xf numFmtId="1" fontId="6" fillId="12" borderId="10" xfId="0" applyNumberFormat="1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 wrapText="1"/>
    </xf>
    <xf numFmtId="1" fontId="6" fillId="18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" fontId="0" fillId="1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2" fontId="0" fillId="13" borderId="10" xfId="0" applyNumberFormat="1" applyFill="1" applyBorder="1" applyAlignment="1">
      <alignment horizontal="center"/>
    </xf>
    <xf numFmtId="0" fontId="6" fillId="11" borderId="10" xfId="0" applyFont="1" applyFill="1" applyBorder="1" applyAlignment="1">
      <alignment horizontal="center" wrapText="1"/>
    </xf>
    <xf numFmtId="1" fontId="6" fillId="11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15" borderId="10" xfId="0" applyFont="1" applyFill="1" applyBorder="1" applyAlignment="1">
      <alignment horizontal="center" wrapText="1"/>
    </xf>
    <xf numFmtId="0" fontId="6" fillId="17" borderId="10" xfId="0" applyFont="1" applyFill="1" applyBorder="1" applyAlignment="1">
      <alignment horizontal="center" wrapText="1"/>
    </xf>
    <xf numFmtId="1" fontId="6" fillId="17" borderId="10" xfId="0" applyNumberFormat="1" applyFont="1" applyFill="1" applyBorder="1" applyAlignment="1">
      <alignment horizontal="center"/>
    </xf>
    <xf numFmtId="1" fontId="0" fillId="15" borderId="10" xfId="0" applyNumberFormat="1" applyFill="1" applyBorder="1" applyAlignment="1">
      <alignment horizontal="center"/>
    </xf>
    <xf numFmtId="2" fontId="6" fillId="15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/>
    </xf>
    <xf numFmtId="2" fontId="6" fillId="18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wrapText="1"/>
    </xf>
    <xf numFmtId="1" fontId="6" fillId="16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" fontId="6" fillId="19" borderId="10" xfId="0" applyNumberFormat="1" applyFont="1" applyFill="1" applyBorder="1" applyAlignment="1">
      <alignment horizontal="center"/>
    </xf>
    <xf numFmtId="182" fontId="6" fillId="10" borderId="1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15" borderId="10" xfId="0" applyFont="1" applyFill="1" applyBorder="1" applyAlignment="1">
      <alignment/>
    </xf>
    <xf numFmtId="0" fontId="3" fillId="15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15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6" fillId="19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6" fillId="34" borderId="10" xfId="0" applyNumberFormat="1" applyFont="1" applyFill="1" applyBorder="1" applyAlignment="1">
      <alignment horizontal="center"/>
    </xf>
    <xf numFmtId="187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1" fontId="6" fillId="3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18" borderId="14" xfId="0" applyFont="1" applyFill="1" applyBorder="1" applyAlignment="1">
      <alignment horizontal="center" wrapText="1"/>
    </xf>
    <xf numFmtId="1" fontId="6" fillId="18" borderId="1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37" borderId="10" xfId="0" applyFont="1" applyFill="1" applyBorder="1" applyAlignment="1">
      <alignment horizontal="center" wrapText="1"/>
    </xf>
    <xf numFmtId="1" fontId="6" fillId="37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3" fillId="38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8" borderId="10" xfId="0" applyFill="1" applyBorder="1" applyAlignment="1">
      <alignment/>
    </xf>
    <xf numFmtId="1" fontId="3" fillId="35" borderId="10" xfId="0" applyNumberFormat="1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19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1" fontId="3" fillId="38" borderId="10" xfId="0" applyNumberFormat="1" applyFont="1" applyFill="1" applyBorder="1" applyAlignment="1">
      <alignment horizontal="left" wrapText="1"/>
    </xf>
    <xf numFmtId="0" fontId="0" fillId="38" borderId="10" xfId="0" applyFill="1" applyBorder="1" applyAlignment="1">
      <alignment horizontal="left"/>
    </xf>
    <xf numFmtId="1" fontId="3" fillId="16" borderId="10" xfId="0" applyNumberFormat="1" applyFont="1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16" borderId="10" xfId="0" applyFill="1" applyBorder="1" applyAlignment="1">
      <alignment/>
    </xf>
    <xf numFmtId="0" fontId="3" fillId="38" borderId="10" xfId="0" applyFont="1" applyFill="1" applyBorder="1" applyAlignment="1">
      <alignment horizontal="left"/>
    </xf>
    <xf numFmtId="0" fontId="8" fillId="38" borderId="10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3" fillId="15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1" fontId="11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8" fillId="15" borderId="14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center"/>
    </xf>
    <xf numFmtId="0" fontId="8" fillId="15" borderId="16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1" fontId="8" fillId="39" borderId="15" xfId="0" applyNumberFormat="1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38" borderId="11" xfId="0" applyFont="1" applyFill="1" applyBorder="1" applyAlignment="1">
      <alignment horizontal="left"/>
    </xf>
    <xf numFmtId="1" fontId="11" fillId="38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wrapText="1"/>
    </xf>
    <xf numFmtId="1" fontId="6" fillId="13" borderId="10" xfId="0" applyNumberFormat="1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45"/>
  <sheetViews>
    <sheetView tabSelected="1" zoomScalePageLayoutView="0" workbookViewId="0" topLeftCell="A230">
      <selection activeCell="L240" sqref="L240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7.375" style="0" customWidth="1"/>
    <col min="4" max="4" width="18.875" style="0" customWidth="1"/>
    <col min="5" max="5" width="15.125" style="0" customWidth="1"/>
    <col min="6" max="7" width="16.00390625" style="0" customWidth="1"/>
    <col min="8" max="8" width="19.25390625" style="0" customWidth="1"/>
    <col min="9" max="9" width="17.25390625" style="0" customWidth="1"/>
    <col min="10" max="10" width="16.125" style="0" customWidth="1"/>
    <col min="11" max="11" width="18.875" style="0" customWidth="1"/>
    <col min="12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4" ht="20.25">
      <c r="B2" s="124" t="s">
        <v>355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18.7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6.5" customHeight="1">
      <c r="B4" s="126" t="s">
        <v>350</v>
      </c>
      <c r="C4" s="126"/>
      <c r="D4" s="126"/>
      <c r="E4" s="126"/>
      <c r="F4" s="126"/>
      <c r="G4" s="126"/>
      <c r="H4" s="126"/>
      <c r="I4" s="126"/>
      <c r="J4" s="126"/>
      <c r="K4" s="126"/>
      <c r="L4" s="70"/>
      <c r="M4" s="70"/>
      <c r="N4" s="70"/>
    </row>
    <row r="5" spans="2:14" ht="16.5" customHeight="1">
      <c r="B5" s="77"/>
      <c r="C5" s="77"/>
      <c r="D5" s="77"/>
      <c r="E5" s="77"/>
      <c r="F5" s="77"/>
      <c r="G5" s="77"/>
      <c r="H5" s="77"/>
      <c r="I5" s="77"/>
      <c r="J5" s="77"/>
      <c r="K5" s="77"/>
      <c r="L5" s="70"/>
      <c r="M5" s="70"/>
      <c r="N5" s="70"/>
    </row>
    <row r="6" spans="2:14" ht="16.5" customHeight="1">
      <c r="B6" s="91" t="s">
        <v>354</v>
      </c>
      <c r="C6" s="92"/>
      <c r="D6" s="92"/>
      <c r="E6" s="92"/>
      <c r="F6" s="92"/>
      <c r="G6" s="92"/>
      <c r="H6" s="92"/>
      <c r="I6" s="92"/>
      <c r="J6" s="92"/>
      <c r="K6" s="92"/>
      <c r="L6" s="93"/>
      <c r="M6" s="70"/>
      <c r="N6" s="70"/>
    </row>
    <row r="7" spans="2:1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</row>
    <row r="8" spans="2:14" ht="15.75">
      <c r="B8" s="103" t="s">
        <v>356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10" spans="2:14" ht="75">
      <c r="B10" s="4" t="s">
        <v>0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426</v>
      </c>
      <c r="H10" s="5" t="s">
        <v>7</v>
      </c>
      <c r="I10" s="6" t="s">
        <v>8</v>
      </c>
      <c r="J10" s="5" t="s">
        <v>181</v>
      </c>
      <c r="K10" s="15" t="s">
        <v>353</v>
      </c>
      <c r="L10" s="6" t="s">
        <v>427</v>
      </c>
      <c r="M10" s="53" t="s">
        <v>428</v>
      </c>
      <c r="N10" s="51" t="s">
        <v>183</v>
      </c>
    </row>
    <row r="11" spans="2:14" ht="15">
      <c r="B11" s="4" t="s">
        <v>1</v>
      </c>
      <c r="C11" s="4">
        <v>150</v>
      </c>
      <c r="D11" s="4">
        <v>0.93</v>
      </c>
      <c r="E11" s="4">
        <v>0.962</v>
      </c>
      <c r="F11" s="4">
        <v>12</v>
      </c>
      <c r="G11" s="7">
        <f>C11*0.746*F11*365*1*((1/D11)-(1/E11))</f>
        <v>17530.57474347791</v>
      </c>
      <c r="H11" s="4">
        <v>0.37</v>
      </c>
      <c r="I11" s="7">
        <f>G11*H11</f>
        <v>6486.312655086827</v>
      </c>
      <c r="J11" s="4">
        <v>2500</v>
      </c>
      <c r="K11" s="72">
        <f>(J11/I11)*(365/30)</f>
        <v>4.689361781352414</v>
      </c>
      <c r="L11" s="7">
        <f>(C11*1.3*F11*365)/D11</f>
        <v>918387.0967741935</v>
      </c>
      <c r="M11" s="54">
        <f>H11*L11</f>
        <v>339803.2258064516</v>
      </c>
      <c r="N11" s="52">
        <f>J11/M11</f>
        <v>0.007357199138021056</v>
      </c>
    </row>
    <row r="13" spans="2:11" ht="12.75">
      <c r="B13" s="89" t="s">
        <v>10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2:18" ht="12.75">
      <c r="B14" s="89" t="s">
        <v>12</v>
      </c>
      <c r="C14" s="89"/>
      <c r="D14" s="89"/>
      <c r="E14" s="89"/>
      <c r="F14" s="89"/>
      <c r="G14" s="89"/>
      <c r="H14" s="89"/>
      <c r="I14" s="89"/>
      <c r="J14" s="89"/>
      <c r="K14" s="89"/>
      <c r="R14" s="9"/>
    </row>
    <row r="15" spans="2:18" ht="12.75">
      <c r="B15" s="89" t="s">
        <v>11</v>
      </c>
      <c r="C15" s="89"/>
      <c r="D15" s="89"/>
      <c r="E15" s="89"/>
      <c r="F15" s="89"/>
      <c r="G15" s="89"/>
      <c r="H15" s="89"/>
      <c r="I15" s="89"/>
      <c r="J15" s="89"/>
      <c r="K15" s="89"/>
      <c r="R15" s="9"/>
    </row>
    <row r="16" spans="13:18" ht="12.75">
      <c r="M16" s="42"/>
      <c r="N16" s="41"/>
      <c r="R16" s="9"/>
    </row>
    <row r="17" spans="2:18" ht="15.75">
      <c r="B17" s="87" t="s">
        <v>357</v>
      </c>
      <c r="C17" s="88"/>
      <c r="D17" s="88"/>
      <c r="E17" s="88"/>
      <c r="F17" s="88"/>
      <c r="G17" s="88"/>
      <c r="H17" s="88"/>
      <c r="I17" s="88"/>
      <c r="J17" s="88"/>
      <c r="K17" s="88"/>
      <c r="M17" s="42"/>
      <c r="N17" s="41"/>
      <c r="R17" s="9"/>
    </row>
    <row r="18" spans="3:18" ht="12.75">
      <c r="C18" s="86"/>
      <c r="D18" s="86"/>
      <c r="E18" s="86"/>
      <c r="F18" s="86"/>
      <c r="G18" s="86"/>
      <c r="H18" s="86"/>
      <c r="I18" s="86"/>
      <c r="M18" s="42"/>
      <c r="N18" s="41"/>
      <c r="R18" s="9"/>
    </row>
    <row r="19" spans="2:18" ht="90">
      <c r="B19" s="4" t="s">
        <v>0</v>
      </c>
      <c r="C19" s="55" t="s">
        <v>243</v>
      </c>
      <c r="D19" s="55" t="s">
        <v>244</v>
      </c>
      <c r="E19" s="5" t="s">
        <v>190</v>
      </c>
      <c r="F19" s="5" t="s">
        <v>67</v>
      </c>
      <c r="G19" s="22" t="s">
        <v>245</v>
      </c>
      <c r="H19" s="55" t="s">
        <v>246</v>
      </c>
      <c r="I19" s="22" t="s">
        <v>247</v>
      </c>
      <c r="J19" s="5" t="s">
        <v>433</v>
      </c>
      <c r="K19" s="15" t="s">
        <v>353</v>
      </c>
      <c r="R19" s="9"/>
    </row>
    <row r="20" spans="2:18" ht="15">
      <c r="B20" s="4" t="s">
        <v>242</v>
      </c>
      <c r="C20" s="4">
        <v>8</v>
      </c>
      <c r="D20" s="4">
        <v>5</v>
      </c>
      <c r="E20" s="13">
        <v>0.37</v>
      </c>
      <c r="F20" s="4">
        <v>14</v>
      </c>
      <c r="G20" s="11">
        <f>(C20*D20*E20*365*F20)</f>
        <v>75628</v>
      </c>
      <c r="H20" s="56">
        <v>0.2</v>
      </c>
      <c r="I20" s="11">
        <f>G20*H20</f>
        <v>15125.6</v>
      </c>
      <c r="J20" s="4">
        <f>(20*C20+400)*D20</f>
        <v>2800</v>
      </c>
      <c r="K20" s="73">
        <f>(J20/I20)*(365/30)</f>
        <v>2.252252252252252</v>
      </c>
      <c r="R20" s="9"/>
    </row>
    <row r="21" ht="12.75">
      <c r="R21" s="9"/>
    </row>
    <row r="22" ht="12.75">
      <c r="R22" s="9"/>
    </row>
    <row r="23" spans="2:18" ht="15.75">
      <c r="B23" s="91" t="s">
        <v>358</v>
      </c>
      <c r="C23" s="92"/>
      <c r="D23" s="92"/>
      <c r="E23" s="92"/>
      <c r="F23" s="92"/>
      <c r="G23" s="92"/>
      <c r="H23" s="92"/>
      <c r="I23" s="92"/>
      <c r="J23" s="92"/>
      <c r="K23" s="92"/>
      <c r="L23" s="93"/>
      <c r="R23" s="9"/>
    </row>
    <row r="24" spans="2:18" ht="12.75">
      <c r="B24" s="2"/>
      <c r="R24" s="9"/>
    </row>
    <row r="25" spans="2:18" ht="15.75">
      <c r="B25" s="103" t="s">
        <v>359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R25" s="9"/>
    </row>
    <row r="26" ht="12.75">
      <c r="R26" s="9"/>
    </row>
    <row r="27" spans="2:23" ht="90">
      <c r="B27" s="4" t="s">
        <v>0</v>
      </c>
      <c r="C27" s="5" t="s">
        <v>22</v>
      </c>
      <c r="D27" s="5" t="s">
        <v>36</v>
      </c>
      <c r="E27" s="6" t="s">
        <v>23</v>
      </c>
      <c r="F27" s="5" t="s">
        <v>35</v>
      </c>
      <c r="G27" s="5" t="s">
        <v>24</v>
      </c>
      <c r="H27" s="5" t="s">
        <v>25</v>
      </c>
      <c r="I27" s="5" t="s">
        <v>28</v>
      </c>
      <c r="J27" s="5" t="s">
        <v>27</v>
      </c>
      <c r="K27" s="5" t="s">
        <v>29</v>
      </c>
      <c r="L27" s="6" t="s">
        <v>30</v>
      </c>
      <c r="M27" s="6" t="s">
        <v>31</v>
      </c>
      <c r="N27" s="6" t="s">
        <v>26</v>
      </c>
      <c r="O27" s="15" t="s">
        <v>32</v>
      </c>
      <c r="P27" s="22" t="s">
        <v>33</v>
      </c>
      <c r="Q27" s="5" t="s">
        <v>7</v>
      </c>
      <c r="R27" s="20" t="s">
        <v>34</v>
      </c>
      <c r="S27" s="5" t="s">
        <v>180</v>
      </c>
      <c r="T27" s="15" t="s">
        <v>353</v>
      </c>
      <c r="U27" s="17"/>
      <c r="V27" s="17"/>
      <c r="W27" s="17"/>
    </row>
    <row r="28" spans="2:23" ht="15">
      <c r="B28" s="4" t="s">
        <v>1</v>
      </c>
      <c r="C28" s="4">
        <v>0.113</v>
      </c>
      <c r="D28" s="4">
        <v>0.085</v>
      </c>
      <c r="E28" s="10">
        <f>C28-D28</f>
        <v>0.027999999999999997</v>
      </c>
      <c r="F28" s="4">
        <v>850</v>
      </c>
      <c r="G28" s="11">
        <v>20</v>
      </c>
      <c r="H28" s="4">
        <v>90</v>
      </c>
      <c r="I28" s="13">
        <v>0.8</v>
      </c>
      <c r="J28" s="4">
        <v>4000</v>
      </c>
      <c r="K28" s="13">
        <v>0.93</v>
      </c>
      <c r="L28" s="14">
        <f>((1.3*0.287*(273+G28))/(I28*(1.3-1)))</f>
        <v>455.49291666666653</v>
      </c>
      <c r="M28" s="12">
        <f>POWER(((F28+H28)/H28),0.23)-1</f>
        <v>0.7153139878158785</v>
      </c>
      <c r="N28" s="7">
        <f>L28*M28</f>
        <v>325.82045464271886</v>
      </c>
      <c r="O28" s="16">
        <f>E28*N28</f>
        <v>9.122972729996127</v>
      </c>
      <c r="P28" s="23">
        <f>(O28*J28)/K28</f>
        <v>39238.59238708011</v>
      </c>
      <c r="Q28" s="4">
        <v>0.37</v>
      </c>
      <c r="R28" s="21">
        <f>P28*Q28</f>
        <v>14518.279183219642</v>
      </c>
      <c r="S28" s="4">
        <v>5000</v>
      </c>
      <c r="T28" s="73">
        <f>(S28/R28)*(365/30)</f>
        <v>4.190120093822486</v>
      </c>
      <c r="U28" s="19"/>
      <c r="V28" s="19"/>
      <c r="W28" s="26"/>
    </row>
    <row r="29" ht="12.75">
      <c r="R29" s="9"/>
    </row>
    <row r="30" spans="2:18" ht="12.75">
      <c r="B30" s="89" t="s">
        <v>13</v>
      </c>
      <c r="C30" s="89"/>
      <c r="D30" s="89"/>
      <c r="E30" s="89"/>
      <c r="F30" s="89"/>
      <c r="G30" s="89"/>
      <c r="H30" s="89"/>
      <c r="I30" s="89"/>
      <c r="J30" s="89"/>
      <c r="K30" s="89"/>
      <c r="R30" s="9"/>
    </row>
    <row r="31" spans="2:18" ht="12.75">
      <c r="B31" s="89" t="s">
        <v>14</v>
      </c>
      <c r="C31" s="89"/>
      <c r="D31" s="89"/>
      <c r="E31" s="89"/>
      <c r="F31" s="89"/>
      <c r="G31" s="89"/>
      <c r="H31" s="89"/>
      <c r="I31" s="89"/>
      <c r="J31" s="89"/>
      <c r="K31" s="89"/>
      <c r="R31" s="9"/>
    </row>
    <row r="32" spans="2:18" ht="12.75">
      <c r="B32" s="89" t="s">
        <v>15</v>
      </c>
      <c r="C32" s="89"/>
      <c r="D32" s="89"/>
      <c r="E32" s="89"/>
      <c r="F32" s="89"/>
      <c r="G32" s="89"/>
      <c r="H32" s="89"/>
      <c r="I32" s="89"/>
      <c r="J32" s="89"/>
      <c r="K32" s="89"/>
      <c r="R32" s="9"/>
    </row>
    <row r="33" spans="2:18" ht="12.75">
      <c r="B33" s="89" t="s">
        <v>16</v>
      </c>
      <c r="C33" s="89"/>
      <c r="D33" s="89"/>
      <c r="E33" s="89"/>
      <c r="F33" s="89"/>
      <c r="G33" s="89"/>
      <c r="H33" s="89"/>
      <c r="I33" s="89"/>
      <c r="J33" s="89"/>
      <c r="K33" s="89"/>
      <c r="R33" s="9"/>
    </row>
    <row r="34" spans="2:18" ht="12.75">
      <c r="B34" s="89" t="s">
        <v>17</v>
      </c>
      <c r="C34" s="89"/>
      <c r="D34" s="89"/>
      <c r="E34" s="89"/>
      <c r="F34" s="89"/>
      <c r="G34" s="89"/>
      <c r="H34" s="89"/>
      <c r="I34" s="89"/>
      <c r="J34" s="89"/>
      <c r="K34" s="89"/>
      <c r="R34" s="9"/>
    </row>
    <row r="35" spans="2:18" ht="12.75">
      <c r="B35" s="89" t="s">
        <v>18</v>
      </c>
      <c r="C35" s="89"/>
      <c r="D35" s="89"/>
      <c r="E35" s="89"/>
      <c r="F35" s="89"/>
      <c r="G35" s="89"/>
      <c r="H35" s="89"/>
      <c r="I35" s="89"/>
      <c r="J35" s="89"/>
      <c r="K35" s="89"/>
      <c r="R35" s="9"/>
    </row>
    <row r="36" spans="2:18" ht="12.75">
      <c r="B36" s="89" t="s">
        <v>19</v>
      </c>
      <c r="C36" s="89"/>
      <c r="D36" s="89"/>
      <c r="E36" s="89"/>
      <c r="F36" s="89"/>
      <c r="G36" s="89"/>
      <c r="H36" s="89"/>
      <c r="I36" s="89"/>
      <c r="J36" s="89"/>
      <c r="K36" s="89"/>
      <c r="R36" s="9"/>
    </row>
    <row r="37" spans="2:18" ht="12.75">
      <c r="B37" s="89" t="s">
        <v>20</v>
      </c>
      <c r="C37" s="89"/>
      <c r="D37" s="89"/>
      <c r="E37" s="89"/>
      <c r="F37" s="89"/>
      <c r="G37" s="89"/>
      <c r="H37" s="89"/>
      <c r="I37" s="89"/>
      <c r="J37" s="89"/>
      <c r="K37" s="89"/>
      <c r="R37" s="9"/>
    </row>
    <row r="38" spans="2:18" ht="12.75">
      <c r="B38" s="89" t="s">
        <v>21</v>
      </c>
      <c r="C38" s="89"/>
      <c r="D38" s="89"/>
      <c r="E38" s="89"/>
      <c r="F38" s="89"/>
      <c r="G38" s="89"/>
      <c r="H38" s="89"/>
      <c r="I38" s="89"/>
      <c r="J38" s="89"/>
      <c r="K38" s="89"/>
      <c r="R38" s="9"/>
    </row>
    <row r="39" spans="2:18" ht="12.75">
      <c r="B39" s="89" t="s">
        <v>248</v>
      </c>
      <c r="C39" s="89"/>
      <c r="D39" s="89"/>
      <c r="E39" s="89"/>
      <c r="F39" s="89"/>
      <c r="G39" s="89"/>
      <c r="H39" s="89"/>
      <c r="I39" s="89"/>
      <c r="J39" s="89"/>
      <c r="K39" s="89"/>
      <c r="R39" s="9"/>
    </row>
    <row r="40" ht="12.75">
      <c r="R40" s="9"/>
    </row>
    <row r="41" spans="2:18" ht="15.75">
      <c r="B41" s="103" t="s">
        <v>360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R41" s="9"/>
    </row>
    <row r="42" ht="12.75">
      <c r="R42" s="9"/>
    </row>
    <row r="43" spans="2:21" ht="90">
      <c r="B43" s="4" t="s">
        <v>0</v>
      </c>
      <c r="C43" s="5" t="s">
        <v>2</v>
      </c>
      <c r="D43" s="5" t="s">
        <v>3</v>
      </c>
      <c r="E43" s="5" t="s">
        <v>41</v>
      </c>
      <c r="F43" s="5" t="s">
        <v>5</v>
      </c>
      <c r="G43" s="5" t="s">
        <v>42</v>
      </c>
      <c r="H43" s="5" t="s">
        <v>45</v>
      </c>
      <c r="I43" s="5" t="s">
        <v>43</v>
      </c>
      <c r="J43" s="6" t="s">
        <v>44</v>
      </c>
      <c r="K43" s="6" t="s">
        <v>6</v>
      </c>
      <c r="L43" s="5" t="s">
        <v>7</v>
      </c>
      <c r="M43" s="6" t="s">
        <v>8</v>
      </c>
      <c r="N43" s="5" t="s">
        <v>180</v>
      </c>
      <c r="O43" s="15" t="s">
        <v>353</v>
      </c>
      <c r="P43" s="6" t="s">
        <v>430</v>
      </c>
      <c r="Q43" s="6" t="s">
        <v>431</v>
      </c>
      <c r="R43" s="51" t="s">
        <v>182</v>
      </c>
      <c r="S43" s="17"/>
      <c r="T43" s="17"/>
      <c r="U43" s="24"/>
    </row>
    <row r="44" spans="2:21" ht="15">
      <c r="B44" s="4" t="s">
        <v>1</v>
      </c>
      <c r="C44" s="4">
        <v>175</v>
      </c>
      <c r="D44" s="4">
        <v>0.88</v>
      </c>
      <c r="E44" s="4">
        <v>0.75</v>
      </c>
      <c r="F44" s="4">
        <v>9.5</v>
      </c>
      <c r="G44" s="11">
        <v>800</v>
      </c>
      <c r="H44" s="4">
        <v>100</v>
      </c>
      <c r="I44" s="4">
        <v>600</v>
      </c>
      <c r="J44" s="12">
        <f>1-((POWER((I44/H44),0.28)-1)/(POWER((G44/H44),0.28)-1))</f>
        <v>0.17535063952638896</v>
      </c>
      <c r="K44" s="7">
        <f>(J44*C44*0.746*E44*F44*365)/D44</f>
        <v>67651.7898757796</v>
      </c>
      <c r="L44" s="4">
        <v>0.11</v>
      </c>
      <c r="M44" s="7">
        <f>L44*K44</f>
        <v>7441.696886335757</v>
      </c>
      <c r="N44" s="4">
        <v>3500</v>
      </c>
      <c r="O44" s="73">
        <f>(N44/M44)*(365/30)</f>
        <v>5.722261197109989</v>
      </c>
      <c r="P44" s="7">
        <f>(C44*1.3*E44*F44*365)/D44</f>
        <v>672320.6676136364</v>
      </c>
      <c r="Q44" s="7">
        <f>L44*P44</f>
        <v>73955.2734375</v>
      </c>
      <c r="R44" s="52">
        <f>N44/Q44</f>
        <v>0.04732590168783392</v>
      </c>
      <c r="S44" s="18"/>
      <c r="T44" s="19"/>
      <c r="U44" s="24"/>
    </row>
    <row r="46" spans="2:11" ht="12.75">
      <c r="B46" s="89" t="s">
        <v>37</v>
      </c>
      <c r="C46" s="89"/>
      <c r="D46" s="89"/>
      <c r="E46" s="89"/>
      <c r="F46" s="89"/>
      <c r="G46" s="89"/>
      <c r="H46" s="89"/>
      <c r="I46" s="89"/>
      <c r="J46" s="89"/>
      <c r="K46" s="89"/>
    </row>
    <row r="47" spans="2:11" ht="12.75">
      <c r="B47" s="89" t="s">
        <v>38</v>
      </c>
      <c r="C47" s="89"/>
      <c r="D47" s="89"/>
      <c r="E47" s="89"/>
      <c r="F47" s="89"/>
      <c r="G47" s="89"/>
      <c r="H47" s="89"/>
      <c r="I47" s="89"/>
      <c r="J47" s="89"/>
      <c r="K47" s="89"/>
    </row>
    <row r="48" spans="2:11" ht="12.75">
      <c r="B48" s="89" t="s">
        <v>39</v>
      </c>
      <c r="C48" s="89"/>
      <c r="D48" s="89"/>
      <c r="E48" s="89"/>
      <c r="F48" s="89"/>
      <c r="G48" s="89"/>
      <c r="H48" s="89"/>
      <c r="I48" s="89"/>
      <c r="J48" s="89"/>
      <c r="K48" s="89"/>
    </row>
    <row r="49" spans="2:11" ht="12.75">
      <c r="B49" s="89" t="s">
        <v>429</v>
      </c>
      <c r="C49" s="89"/>
      <c r="D49" s="89"/>
      <c r="E49" s="89"/>
      <c r="F49" s="89"/>
      <c r="G49" s="89"/>
      <c r="H49" s="89"/>
      <c r="I49" s="89"/>
      <c r="J49" s="89"/>
      <c r="K49" s="89"/>
    </row>
    <row r="50" spans="2:11" ht="12.75">
      <c r="B50" s="89" t="s">
        <v>40</v>
      </c>
      <c r="C50" s="89"/>
      <c r="D50" s="89"/>
      <c r="E50" s="89"/>
      <c r="F50" s="89"/>
      <c r="G50" s="89"/>
      <c r="H50" s="89"/>
      <c r="I50" s="89"/>
      <c r="J50" s="89"/>
      <c r="K50" s="89"/>
    </row>
    <row r="52" spans="2:11" ht="15.75">
      <c r="B52" s="87" t="s">
        <v>361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3:9" ht="12.75">
      <c r="C53" s="86"/>
      <c r="D53" s="86"/>
      <c r="E53" s="86"/>
      <c r="F53" s="86"/>
      <c r="G53" s="86"/>
      <c r="H53" s="86"/>
      <c r="I53" s="86"/>
    </row>
    <row r="54" spans="2:11" ht="90">
      <c r="B54" s="4" t="s">
        <v>0</v>
      </c>
      <c r="C54" s="55" t="s">
        <v>243</v>
      </c>
      <c r="D54" s="55" t="s">
        <v>244</v>
      </c>
      <c r="E54" s="5" t="s">
        <v>190</v>
      </c>
      <c r="F54" s="5" t="s">
        <v>67</v>
      </c>
      <c r="G54" s="22" t="s">
        <v>245</v>
      </c>
      <c r="H54" s="55" t="s">
        <v>246</v>
      </c>
      <c r="I54" s="22" t="s">
        <v>432</v>
      </c>
      <c r="J54" s="5" t="s">
        <v>433</v>
      </c>
      <c r="K54" s="15" t="s">
        <v>353</v>
      </c>
    </row>
    <row r="55" spans="2:11" ht="15">
      <c r="B55" s="4" t="s">
        <v>242</v>
      </c>
      <c r="C55" s="4">
        <v>8</v>
      </c>
      <c r="D55" s="4">
        <v>2</v>
      </c>
      <c r="E55" s="13">
        <v>0.37</v>
      </c>
      <c r="F55" s="4">
        <v>14</v>
      </c>
      <c r="G55" s="11">
        <f>(C55*D55*E55*365*F55)</f>
        <v>30251.200000000004</v>
      </c>
      <c r="H55" s="56">
        <v>0.5</v>
      </c>
      <c r="I55" s="11">
        <f>G55*H55</f>
        <v>15125.600000000002</v>
      </c>
      <c r="J55" s="4">
        <f>(20*C55+400)*D55</f>
        <v>1120</v>
      </c>
      <c r="K55" s="73">
        <f>(J55/I55)*(365/30)</f>
        <v>0.9009009009009008</v>
      </c>
    </row>
    <row r="57" spans="2:11" ht="15.75">
      <c r="B57" s="125" t="s">
        <v>330</v>
      </c>
      <c r="C57" s="89"/>
      <c r="D57" s="89"/>
      <c r="E57" s="89"/>
      <c r="F57" s="89"/>
      <c r="G57" s="89"/>
      <c r="H57" s="89"/>
      <c r="I57" s="89"/>
      <c r="J57" s="89"/>
      <c r="K57" s="89"/>
    </row>
    <row r="58" spans="2:11" ht="15.75">
      <c r="B58" s="125" t="s">
        <v>331</v>
      </c>
      <c r="C58" s="89"/>
      <c r="D58" s="89"/>
      <c r="E58" s="89"/>
      <c r="F58" s="89"/>
      <c r="G58" s="89"/>
      <c r="H58" s="89"/>
      <c r="I58" s="89"/>
      <c r="J58" s="89"/>
      <c r="K58" s="89"/>
    </row>
    <row r="59" spans="2:11" ht="15.75">
      <c r="B59" s="125" t="s">
        <v>332</v>
      </c>
      <c r="C59" s="89"/>
      <c r="D59" s="89"/>
      <c r="E59" s="89"/>
      <c r="F59" s="89"/>
      <c r="G59" s="89"/>
      <c r="H59" s="89"/>
      <c r="I59" s="89"/>
      <c r="J59" s="89"/>
      <c r="K59" s="89"/>
    </row>
    <row r="61" spans="2:14" ht="15.75">
      <c r="B61" s="103" t="s">
        <v>362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3" spans="2:18" ht="75">
      <c r="B63" s="4" t="s">
        <v>0</v>
      </c>
      <c r="C63" s="5" t="s">
        <v>50</v>
      </c>
      <c r="D63" s="5" t="s">
        <v>3</v>
      </c>
      <c r="E63" s="5" t="s">
        <v>41</v>
      </c>
      <c r="F63" s="5" t="s">
        <v>5</v>
      </c>
      <c r="G63" s="5" t="s">
        <v>51</v>
      </c>
      <c r="H63" s="5" t="s">
        <v>52</v>
      </c>
      <c r="I63" s="6" t="s">
        <v>44</v>
      </c>
      <c r="J63" s="6" t="s">
        <v>6</v>
      </c>
      <c r="K63" s="5" t="s">
        <v>7</v>
      </c>
      <c r="L63" s="6" t="s">
        <v>8</v>
      </c>
      <c r="M63" s="5" t="s">
        <v>180</v>
      </c>
      <c r="N63" s="15" t="s">
        <v>353</v>
      </c>
      <c r="O63" s="6" t="s">
        <v>430</v>
      </c>
      <c r="P63" s="53" t="s">
        <v>431</v>
      </c>
      <c r="Q63" s="51" t="s">
        <v>182</v>
      </c>
      <c r="R63" s="17"/>
    </row>
    <row r="64" spans="2:18" ht="15">
      <c r="B64" s="4" t="s">
        <v>1</v>
      </c>
      <c r="C64" s="4">
        <v>225</v>
      </c>
      <c r="D64" s="4">
        <v>0.92</v>
      </c>
      <c r="E64" s="4">
        <v>0.7</v>
      </c>
      <c r="F64" s="4">
        <v>10</v>
      </c>
      <c r="G64" s="11">
        <v>5</v>
      </c>
      <c r="H64" s="4">
        <v>20</v>
      </c>
      <c r="I64" s="12">
        <f>1-((G64+273)/(H64+273))</f>
        <v>0.05119453924914674</v>
      </c>
      <c r="J64" s="7">
        <f>(I64*C64*E64*F64*365)/D64</f>
        <v>31989.63125092742</v>
      </c>
      <c r="K64" s="4">
        <v>0.11</v>
      </c>
      <c r="L64" s="7">
        <f>K64*J64</f>
        <v>3518.8594376020164</v>
      </c>
      <c r="M64" s="4">
        <v>3500</v>
      </c>
      <c r="N64" s="73">
        <f>(M64/L64)*(365/30)</f>
        <v>12.101459034792374</v>
      </c>
      <c r="O64" s="7">
        <f>(C64*E64*F64*365)/D64</f>
        <v>624864.1304347826</v>
      </c>
      <c r="P64" s="54">
        <f>K64*O64</f>
        <v>68735.05434782608</v>
      </c>
      <c r="Q64" s="52">
        <f>M64/P64</f>
        <v>0.05092016050920161</v>
      </c>
      <c r="R64" s="26"/>
    </row>
    <row r="66" spans="2:11" ht="12.75">
      <c r="B66" s="89" t="s">
        <v>46</v>
      </c>
      <c r="C66" s="89"/>
      <c r="D66" s="89"/>
      <c r="E66" s="89"/>
      <c r="F66" s="89"/>
      <c r="G66" s="89"/>
      <c r="H66" s="89"/>
      <c r="I66" s="89"/>
      <c r="J66" s="89"/>
      <c r="K66" s="89"/>
    </row>
    <row r="67" spans="2:11" ht="12.75">
      <c r="B67" s="89" t="s">
        <v>47</v>
      </c>
      <c r="C67" s="89"/>
      <c r="D67" s="89"/>
      <c r="E67" s="89"/>
      <c r="F67" s="89"/>
      <c r="G67" s="89"/>
      <c r="H67" s="89"/>
      <c r="I67" s="89"/>
      <c r="J67" s="89"/>
      <c r="K67" s="89"/>
    </row>
    <row r="68" spans="2:11" ht="12.75">
      <c r="B68" s="89" t="s">
        <v>48</v>
      </c>
      <c r="C68" s="89"/>
      <c r="D68" s="89"/>
      <c r="E68" s="89"/>
      <c r="F68" s="89"/>
      <c r="G68" s="89"/>
      <c r="H68" s="89"/>
      <c r="I68" s="89"/>
      <c r="J68" s="89"/>
      <c r="K68" s="89"/>
    </row>
    <row r="69" spans="2:11" ht="12.75">
      <c r="B69" s="89" t="s">
        <v>49</v>
      </c>
      <c r="C69" s="89"/>
      <c r="D69" s="89"/>
      <c r="E69" s="89"/>
      <c r="F69" s="89"/>
      <c r="G69" s="89"/>
      <c r="H69" s="89"/>
      <c r="I69" s="89"/>
      <c r="J69" s="89"/>
      <c r="K69" s="89"/>
    </row>
    <row r="71" spans="2:11" ht="15.75">
      <c r="B71" s="87" t="s">
        <v>363</v>
      </c>
      <c r="C71" s="88"/>
      <c r="D71" s="88"/>
      <c r="E71" s="88"/>
      <c r="F71" s="88"/>
      <c r="G71" s="88"/>
      <c r="H71" s="88"/>
      <c r="I71" s="88"/>
      <c r="J71" s="88"/>
      <c r="K71" s="88"/>
    </row>
    <row r="72" spans="3:9" ht="12.75">
      <c r="C72" s="86"/>
      <c r="D72" s="86"/>
      <c r="E72" s="86"/>
      <c r="F72" s="86"/>
      <c r="G72" s="86"/>
      <c r="H72" s="86"/>
      <c r="I72" s="86"/>
    </row>
    <row r="73" spans="2:11" ht="105">
      <c r="B73" s="4" t="s">
        <v>0</v>
      </c>
      <c r="C73" s="55" t="s">
        <v>250</v>
      </c>
      <c r="D73" s="55" t="s">
        <v>251</v>
      </c>
      <c r="E73" s="5" t="s">
        <v>190</v>
      </c>
      <c r="F73" s="5" t="s">
        <v>67</v>
      </c>
      <c r="G73" s="22" t="s">
        <v>252</v>
      </c>
      <c r="H73" s="55" t="s">
        <v>435</v>
      </c>
      <c r="I73" s="22" t="s">
        <v>253</v>
      </c>
      <c r="J73" s="5" t="s">
        <v>434</v>
      </c>
      <c r="K73" s="15" t="s">
        <v>353</v>
      </c>
    </row>
    <row r="74" spans="2:11" ht="15">
      <c r="B74" s="4" t="s">
        <v>249</v>
      </c>
      <c r="C74" s="4">
        <v>1500</v>
      </c>
      <c r="D74" s="4">
        <v>10</v>
      </c>
      <c r="E74" s="13">
        <v>0.37</v>
      </c>
      <c r="F74" s="4">
        <v>16</v>
      </c>
      <c r="G74" s="11">
        <f>(C74*D74*E74*365*F74)/1000</f>
        <v>32412</v>
      </c>
      <c r="H74" s="56">
        <v>0.25</v>
      </c>
      <c r="I74" s="11">
        <f>G74*H74</f>
        <v>8103</v>
      </c>
      <c r="J74" s="4">
        <f>(20*(C74/1000)+400)*D74</f>
        <v>4300</v>
      </c>
      <c r="K74" s="73">
        <f>(J74/I74)*(365/30)</f>
        <v>6.456456456456457</v>
      </c>
    </row>
    <row r="77" spans="2:14" ht="15.75">
      <c r="B77" s="103" t="s">
        <v>364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9" spans="2:27" ht="105">
      <c r="B79" s="4" t="s">
        <v>0</v>
      </c>
      <c r="C79" s="5" t="s">
        <v>61</v>
      </c>
      <c r="D79" s="5" t="s">
        <v>62</v>
      </c>
      <c r="E79" s="5" t="s">
        <v>63</v>
      </c>
      <c r="F79" s="6" t="s">
        <v>64</v>
      </c>
      <c r="G79" s="5" t="s">
        <v>58</v>
      </c>
      <c r="H79" s="5" t="s">
        <v>60</v>
      </c>
      <c r="I79" s="5" t="s">
        <v>59</v>
      </c>
      <c r="J79" s="5" t="s">
        <v>65</v>
      </c>
      <c r="K79" s="5" t="s">
        <v>66</v>
      </c>
      <c r="L79" s="6" t="s">
        <v>71</v>
      </c>
      <c r="M79" s="5" t="s">
        <v>67</v>
      </c>
      <c r="N79" s="5" t="s">
        <v>68</v>
      </c>
      <c r="O79" s="5" t="s">
        <v>69</v>
      </c>
      <c r="P79" s="6" t="s">
        <v>70</v>
      </c>
      <c r="Q79" s="6" t="s">
        <v>72</v>
      </c>
      <c r="R79" s="5" t="s">
        <v>73</v>
      </c>
      <c r="S79" s="6" t="s">
        <v>8</v>
      </c>
      <c r="T79" s="5" t="s">
        <v>180</v>
      </c>
      <c r="U79" s="15" t="s">
        <v>353</v>
      </c>
      <c r="V79" s="17"/>
      <c r="W79" s="17"/>
      <c r="X79" s="17"/>
      <c r="Y79" s="17"/>
      <c r="Z79" s="17"/>
      <c r="AA79" s="17"/>
    </row>
    <row r="80" spans="2:27" ht="15">
      <c r="B80" s="4" t="s">
        <v>1</v>
      </c>
      <c r="C80" s="4">
        <v>0.64</v>
      </c>
      <c r="D80" s="4">
        <v>3</v>
      </c>
      <c r="E80" s="4">
        <v>1.2</v>
      </c>
      <c r="F80" s="7">
        <f>C80*D80*E80*3600</f>
        <v>8294.4</v>
      </c>
      <c r="G80" s="4">
        <v>1</v>
      </c>
      <c r="H80" s="4">
        <v>20</v>
      </c>
      <c r="I80" s="4">
        <v>50</v>
      </c>
      <c r="J80" s="13">
        <v>0.85</v>
      </c>
      <c r="K80" s="4">
        <v>34500</v>
      </c>
      <c r="L80" s="7">
        <f>F80*G80*(I80-H80)</f>
        <v>248832</v>
      </c>
      <c r="M80" s="4">
        <v>18</v>
      </c>
      <c r="N80" s="4">
        <v>5</v>
      </c>
      <c r="O80" s="4">
        <v>24</v>
      </c>
      <c r="P80" s="7">
        <f>M80*N80*O80</f>
        <v>2160</v>
      </c>
      <c r="Q80" s="7">
        <f>(L80*P80)/(K80*J80)</f>
        <v>18328.2905370844</v>
      </c>
      <c r="R80" s="4">
        <v>1</v>
      </c>
      <c r="S80" s="7">
        <f>Q80*R80</f>
        <v>18328.2905370844</v>
      </c>
      <c r="T80" s="4">
        <v>2500</v>
      </c>
      <c r="U80" s="73">
        <f>(T80/S80)*(365/30)</f>
        <v>1.659547386872952</v>
      </c>
      <c r="V80" s="18"/>
      <c r="W80" s="19"/>
      <c r="X80" s="18"/>
      <c r="Y80" s="19"/>
      <c r="Z80" s="18"/>
      <c r="AA80" s="26"/>
    </row>
    <row r="82" spans="2:11" ht="12.75">
      <c r="B82" s="89" t="s">
        <v>53</v>
      </c>
      <c r="C82" s="89"/>
      <c r="D82" s="89"/>
      <c r="E82" s="89"/>
      <c r="F82" s="89"/>
      <c r="G82" s="89"/>
      <c r="H82" s="89"/>
      <c r="I82" s="89"/>
      <c r="J82" s="89"/>
      <c r="K82" s="89"/>
    </row>
    <row r="83" spans="2:11" ht="12.75">
      <c r="B83" s="89" t="s">
        <v>57</v>
      </c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89" t="s">
        <v>54</v>
      </c>
      <c r="C84" s="89"/>
      <c r="D84" s="89"/>
      <c r="E84" s="89"/>
      <c r="F84" s="89"/>
      <c r="G84" s="89"/>
      <c r="H84" s="89"/>
      <c r="I84" s="89"/>
      <c r="J84" s="89"/>
      <c r="K84" s="89"/>
    </row>
    <row r="85" spans="2:11" ht="12.75">
      <c r="B85" s="25" t="s">
        <v>55</v>
      </c>
      <c r="C85" s="25"/>
      <c r="D85" s="25"/>
      <c r="E85" s="25"/>
      <c r="F85" s="25"/>
      <c r="G85" s="25"/>
      <c r="H85" s="25"/>
      <c r="I85" s="25"/>
      <c r="J85" s="25"/>
      <c r="K85" s="25"/>
    </row>
    <row r="86" spans="2:11" ht="12.75">
      <c r="B86" s="25" t="s">
        <v>56</v>
      </c>
      <c r="C86" s="25"/>
      <c r="D86" s="25"/>
      <c r="E86" s="25"/>
      <c r="F86" s="25"/>
      <c r="G86" s="25"/>
      <c r="H86" s="25"/>
      <c r="I86" s="25"/>
      <c r="J86" s="25"/>
      <c r="K86" s="25"/>
    </row>
    <row r="89" spans="2:14" ht="15.75">
      <c r="B89" s="103" t="s">
        <v>365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  <row r="91" spans="2:8" ht="14.25">
      <c r="B91" s="27"/>
      <c r="C91" s="28" t="s">
        <v>74</v>
      </c>
      <c r="D91" s="28" t="s">
        <v>75</v>
      </c>
      <c r="E91" s="28" t="s">
        <v>77</v>
      </c>
      <c r="F91" s="28" t="s">
        <v>79</v>
      </c>
      <c r="G91" s="28" t="s">
        <v>89</v>
      </c>
      <c r="H91" s="32"/>
    </row>
    <row r="92" spans="2:8" ht="14.25">
      <c r="B92" s="27"/>
      <c r="C92" s="29" t="s">
        <v>83</v>
      </c>
      <c r="D92" s="29" t="s">
        <v>76</v>
      </c>
      <c r="E92" s="29" t="s">
        <v>78</v>
      </c>
      <c r="F92" s="29" t="s">
        <v>80</v>
      </c>
      <c r="G92" s="28" t="s">
        <v>82</v>
      </c>
      <c r="H92" s="32"/>
    </row>
    <row r="93" spans="2:8" ht="14.25">
      <c r="B93" s="31" t="s">
        <v>81</v>
      </c>
      <c r="C93" s="28">
        <v>23000</v>
      </c>
      <c r="D93" s="28">
        <v>0.34</v>
      </c>
      <c r="E93" s="30">
        <v>0.65</v>
      </c>
      <c r="F93" s="30">
        <f>(D93*1000000)/(C93*E93)</f>
        <v>22.74247491638796</v>
      </c>
      <c r="G93" s="28">
        <v>0.8</v>
      </c>
      <c r="H93" s="32"/>
    </row>
    <row r="94" spans="2:8" ht="14.25">
      <c r="B94" s="31" t="s">
        <v>82</v>
      </c>
      <c r="C94" s="28">
        <v>34500</v>
      </c>
      <c r="D94" s="28">
        <v>1</v>
      </c>
      <c r="E94" s="30">
        <v>1.07</v>
      </c>
      <c r="F94" s="30">
        <f aca="true" t="shared" si="0" ref="F94:F99">(D94*1000000)/(C94*E94)</f>
        <v>27.089259108763375</v>
      </c>
      <c r="G94" s="28">
        <v>1</v>
      </c>
      <c r="H94" s="32"/>
    </row>
    <row r="95" spans="2:8" ht="14.25">
      <c r="B95" s="31" t="s">
        <v>84</v>
      </c>
      <c r="C95" s="28">
        <v>25100</v>
      </c>
      <c r="D95" s="28">
        <v>0.8</v>
      </c>
      <c r="E95" s="30">
        <v>0.75</v>
      </c>
      <c r="F95" s="30">
        <f t="shared" si="0"/>
        <v>42.49667994687915</v>
      </c>
      <c r="G95" s="28">
        <v>1.61</v>
      </c>
      <c r="H95" s="32"/>
    </row>
    <row r="96" spans="2:8" ht="14.25">
      <c r="B96" s="31" t="s">
        <v>85</v>
      </c>
      <c r="C96" s="28">
        <v>40600</v>
      </c>
      <c r="D96" s="28">
        <v>2.53</v>
      </c>
      <c r="E96" s="30">
        <v>0.8</v>
      </c>
      <c r="F96" s="30">
        <f t="shared" si="0"/>
        <v>77.89408866995073</v>
      </c>
      <c r="G96" s="28">
        <v>2.96</v>
      </c>
      <c r="H96" s="32"/>
    </row>
    <row r="97" spans="2:8" ht="14.25">
      <c r="B97" s="31" t="s">
        <v>86</v>
      </c>
      <c r="C97" s="28">
        <v>3273</v>
      </c>
      <c r="D97" s="28">
        <v>0.37</v>
      </c>
      <c r="E97" s="30">
        <v>0.99</v>
      </c>
      <c r="F97" s="30">
        <f t="shared" si="0"/>
        <v>114.18801519626452</v>
      </c>
      <c r="G97" s="28">
        <v>4.38</v>
      </c>
      <c r="H97" s="32"/>
    </row>
    <row r="98" spans="2:8" ht="14.25">
      <c r="B98" s="31" t="s">
        <v>87</v>
      </c>
      <c r="C98" s="28">
        <v>46000</v>
      </c>
      <c r="D98" s="28">
        <v>4.91</v>
      </c>
      <c r="E98" s="30">
        <v>0.9</v>
      </c>
      <c r="F98" s="30">
        <f t="shared" si="0"/>
        <v>118.59903381642512</v>
      </c>
      <c r="G98" s="28">
        <v>4.53</v>
      </c>
      <c r="H98" s="32"/>
    </row>
    <row r="99" spans="2:8" ht="14.25">
      <c r="B99" s="31" t="s">
        <v>88</v>
      </c>
      <c r="C99" s="28">
        <v>42700</v>
      </c>
      <c r="D99" s="28">
        <v>5.13</v>
      </c>
      <c r="E99" s="30">
        <v>0.84</v>
      </c>
      <c r="F99" s="30">
        <f t="shared" si="0"/>
        <v>143.02442288390768</v>
      </c>
      <c r="G99" s="28">
        <v>5.5</v>
      </c>
      <c r="H99" s="32"/>
    </row>
    <row r="100" spans="2:6" ht="14.25">
      <c r="B100" s="27"/>
      <c r="C100" s="27"/>
      <c r="D100" s="27"/>
      <c r="E100" s="27"/>
      <c r="F100" s="27"/>
    </row>
    <row r="102" spans="2:14" ht="15.75">
      <c r="B102" s="103" t="s">
        <v>366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</row>
    <row r="103" spans="5:14" ht="15.75">
      <c r="E103" s="121" t="s">
        <v>132</v>
      </c>
      <c r="F103" s="122"/>
      <c r="G103" s="122"/>
      <c r="H103" s="122"/>
      <c r="I103" s="123"/>
      <c r="J103" s="121" t="s">
        <v>134</v>
      </c>
      <c r="K103" s="122"/>
      <c r="L103" s="122"/>
      <c r="M103" s="122"/>
      <c r="N103" s="123"/>
    </row>
    <row r="104" spans="2:18" ht="90">
      <c r="B104" s="4" t="s">
        <v>0</v>
      </c>
      <c r="C104" s="5" t="s">
        <v>90</v>
      </c>
      <c r="D104" s="5" t="s">
        <v>67</v>
      </c>
      <c r="E104" s="5" t="s">
        <v>109</v>
      </c>
      <c r="F104" s="5" t="s">
        <v>91</v>
      </c>
      <c r="G104" s="6" t="s">
        <v>93</v>
      </c>
      <c r="H104" s="5" t="s">
        <v>94</v>
      </c>
      <c r="I104" s="6" t="s">
        <v>100</v>
      </c>
      <c r="J104" s="5" t="s">
        <v>95</v>
      </c>
      <c r="K104" s="5" t="s">
        <v>96</v>
      </c>
      <c r="L104" s="6" t="s">
        <v>98</v>
      </c>
      <c r="M104" s="5" t="s">
        <v>97</v>
      </c>
      <c r="N104" s="6" t="s">
        <v>101</v>
      </c>
      <c r="O104" s="6" t="s">
        <v>99</v>
      </c>
      <c r="P104" s="5" t="s">
        <v>179</v>
      </c>
      <c r="Q104" s="15" t="s">
        <v>353</v>
      </c>
      <c r="R104" s="51" t="s">
        <v>175</v>
      </c>
    </row>
    <row r="105" spans="2:18" ht="15">
      <c r="B105" s="4" t="s">
        <v>92</v>
      </c>
      <c r="C105" s="4">
        <v>1000000</v>
      </c>
      <c r="D105" s="4">
        <v>14</v>
      </c>
      <c r="E105" s="4">
        <v>41000</v>
      </c>
      <c r="F105" s="4">
        <v>0.78</v>
      </c>
      <c r="G105" s="7">
        <f>(C105*D105*365*4.184)/(E105*F105)</f>
        <v>668550.3439649781</v>
      </c>
      <c r="H105" s="13">
        <v>2.53</v>
      </c>
      <c r="I105" s="7">
        <f>G105*H105</f>
        <v>1691432.3702313944</v>
      </c>
      <c r="J105" s="4">
        <v>34500</v>
      </c>
      <c r="K105" s="4">
        <v>0.98</v>
      </c>
      <c r="L105" s="7">
        <f>(C105*D105*365*4.184)/(J105*K105)</f>
        <v>632364.3892339545</v>
      </c>
      <c r="M105" s="13">
        <v>1</v>
      </c>
      <c r="N105" s="7">
        <f>L105*M105</f>
        <v>632364.3892339545</v>
      </c>
      <c r="O105" s="7">
        <f>I105-N105</f>
        <v>1059067.98099744</v>
      </c>
      <c r="P105" s="4">
        <v>18000</v>
      </c>
      <c r="Q105" s="49">
        <f>(P105/O105)*(365/30)</f>
        <v>0.20678559254878404</v>
      </c>
      <c r="R105" s="52">
        <f>P105/(G105*H105)</f>
        <v>0.01064186799117338</v>
      </c>
    </row>
    <row r="107" spans="2:11" ht="12.75">
      <c r="B107" s="89" t="s">
        <v>102</v>
      </c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 ht="12.75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09" spans="5:14" ht="15.75"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14" ht="15.75">
      <c r="B110" s="103" t="s">
        <v>367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</row>
    <row r="111" spans="5:14" ht="15.75">
      <c r="E111" s="121" t="s">
        <v>132</v>
      </c>
      <c r="F111" s="122"/>
      <c r="G111" s="122"/>
      <c r="H111" s="122"/>
      <c r="I111" s="123"/>
      <c r="J111" s="121" t="s">
        <v>133</v>
      </c>
      <c r="K111" s="122"/>
      <c r="L111" s="122"/>
      <c r="M111" s="122"/>
      <c r="N111" s="123"/>
    </row>
    <row r="112" spans="2:18" ht="90">
      <c r="B112" s="4" t="s">
        <v>0</v>
      </c>
      <c r="C112" s="5" t="s">
        <v>90</v>
      </c>
      <c r="D112" s="5" t="s">
        <v>67</v>
      </c>
      <c r="E112" s="5" t="s">
        <v>109</v>
      </c>
      <c r="F112" s="5" t="s">
        <v>91</v>
      </c>
      <c r="G112" s="6" t="s">
        <v>93</v>
      </c>
      <c r="H112" s="5" t="s">
        <v>94</v>
      </c>
      <c r="I112" s="6" t="s">
        <v>100</v>
      </c>
      <c r="J112" s="5" t="s">
        <v>105</v>
      </c>
      <c r="K112" s="5" t="s">
        <v>103</v>
      </c>
      <c r="L112" s="6" t="s">
        <v>106</v>
      </c>
      <c r="M112" s="5" t="s">
        <v>107</v>
      </c>
      <c r="N112" s="6" t="s">
        <v>108</v>
      </c>
      <c r="O112" s="6" t="s">
        <v>99</v>
      </c>
      <c r="P112" s="5" t="s">
        <v>178</v>
      </c>
      <c r="Q112" s="15" t="s">
        <v>353</v>
      </c>
      <c r="R112" s="51" t="s">
        <v>175</v>
      </c>
    </row>
    <row r="113" spans="2:18" ht="15">
      <c r="B113" s="4" t="s">
        <v>92</v>
      </c>
      <c r="C113" s="4">
        <v>300000</v>
      </c>
      <c r="D113" s="4">
        <v>14</v>
      </c>
      <c r="E113" s="4">
        <v>41000</v>
      </c>
      <c r="F113" s="4">
        <v>0.78</v>
      </c>
      <c r="G113" s="7">
        <f>(C113*D113*365*4.184)/(E113*F113)</f>
        <v>200565.10318949344</v>
      </c>
      <c r="H113" s="13">
        <v>2.53</v>
      </c>
      <c r="I113" s="7">
        <f>G113*H113</f>
        <v>507429.71106941835</v>
      </c>
      <c r="J113" s="4">
        <v>23000</v>
      </c>
      <c r="K113" s="4">
        <v>0.7</v>
      </c>
      <c r="L113" s="7">
        <f>(C113*D113*365*4.184)/(J113*K113)</f>
        <v>398389.56521739135</v>
      </c>
      <c r="M113" s="13">
        <v>0.8</v>
      </c>
      <c r="N113" s="7">
        <f>L113*M113</f>
        <v>318711.6521739131</v>
      </c>
      <c r="O113" s="7">
        <f>I113-N113</f>
        <v>188718.05889550527</v>
      </c>
      <c r="P113" s="4">
        <v>15000</v>
      </c>
      <c r="Q113" s="73">
        <f>(P113/O113)*(365/30)</f>
        <v>0.9670510658497803</v>
      </c>
      <c r="R113" s="52">
        <f>P113/(G113*H113)</f>
        <v>0.029560744419926056</v>
      </c>
    </row>
    <row r="116" spans="2:14" ht="15.75">
      <c r="B116" s="103" t="s">
        <v>368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  <row r="117" spans="5:14" ht="15.75">
      <c r="E117" s="121" t="s">
        <v>132</v>
      </c>
      <c r="F117" s="122"/>
      <c r="G117" s="122"/>
      <c r="H117" s="122"/>
      <c r="I117" s="123"/>
      <c r="J117" s="121" t="s">
        <v>131</v>
      </c>
      <c r="K117" s="122"/>
      <c r="L117" s="122"/>
      <c r="M117" s="122"/>
      <c r="N117" s="123"/>
    </row>
    <row r="118" spans="2:18" ht="90">
      <c r="B118" s="4" t="s">
        <v>0</v>
      </c>
      <c r="C118" s="5" t="s">
        <v>90</v>
      </c>
      <c r="D118" s="5" t="s">
        <v>67</v>
      </c>
      <c r="E118" s="5" t="s">
        <v>110</v>
      </c>
      <c r="F118" s="5" t="s">
        <v>103</v>
      </c>
      <c r="G118" s="6" t="s">
        <v>111</v>
      </c>
      <c r="H118" s="5" t="s">
        <v>104</v>
      </c>
      <c r="I118" s="6" t="s">
        <v>100</v>
      </c>
      <c r="J118" s="5" t="s">
        <v>95</v>
      </c>
      <c r="K118" s="5" t="s">
        <v>96</v>
      </c>
      <c r="L118" s="6" t="s">
        <v>98</v>
      </c>
      <c r="M118" s="5" t="s">
        <v>97</v>
      </c>
      <c r="N118" s="6" t="s">
        <v>101</v>
      </c>
      <c r="O118" s="6" t="s">
        <v>99</v>
      </c>
      <c r="P118" s="5" t="s">
        <v>178</v>
      </c>
      <c r="Q118" s="15" t="s">
        <v>353</v>
      </c>
      <c r="R118" s="51" t="s">
        <v>175</v>
      </c>
    </row>
    <row r="119" spans="2:18" ht="15">
      <c r="B119" s="4" t="s">
        <v>92</v>
      </c>
      <c r="C119" s="4">
        <v>1000000</v>
      </c>
      <c r="D119" s="4">
        <v>14</v>
      </c>
      <c r="E119" s="4">
        <v>23000</v>
      </c>
      <c r="F119" s="4">
        <v>0.7</v>
      </c>
      <c r="G119" s="7">
        <f>(C119*D119*365*4.184)/(E119*F119)</f>
        <v>1327965.2173913044</v>
      </c>
      <c r="H119" s="13">
        <v>0.8</v>
      </c>
      <c r="I119" s="7">
        <f>G119*H119</f>
        <v>1062372.1739130437</v>
      </c>
      <c r="J119" s="4">
        <v>34500</v>
      </c>
      <c r="K119" s="4">
        <v>0.98</v>
      </c>
      <c r="L119" s="7">
        <f>(C119*D119*365*4.184)/(J119*K119)</f>
        <v>632364.3892339545</v>
      </c>
      <c r="M119" s="13">
        <v>1</v>
      </c>
      <c r="N119" s="7">
        <f>L119*M119</f>
        <v>632364.3892339545</v>
      </c>
      <c r="O119" s="7">
        <f>I119-N119</f>
        <v>430007.7846790892</v>
      </c>
      <c r="P119" s="4">
        <v>18000</v>
      </c>
      <c r="Q119" s="49">
        <f>(P119/O119)*(365/30)</f>
        <v>0.5092931053874703</v>
      </c>
      <c r="R119" s="52">
        <f>P119/(G119*H119)</f>
        <v>0.01694321485633463</v>
      </c>
    </row>
    <row r="122" spans="2:14" ht="15.75">
      <c r="B122" s="103" t="s">
        <v>369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33"/>
      <c r="N122" s="133"/>
    </row>
    <row r="123" spans="8:16" ht="15.75">
      <c r="H123" s="114" t="s">
        <v>129</v>
      </c>
      <c r="I123" s="115"/>
      <c r="J123" s="115"/>
      <c r="K123" s="115"/>
      <c r="L123" s="116"/>
      <c r="M123" s="117" t="s">
        <v>130</v>
      </c>
      <c r="N123" s="118"/>
      <c r="O123" s="119"/>
      <c r="P123" s="120"/>
    </row>
    <row r="124" spans="2:19" ht="90">
      <c r="B124" s="4" t="s">
        <v>0</v>
      </c>
      <c r="C124" s="5" t="s">
        <v>90</v>
      </c>
      <c r="D124" s="5" t="s">
        <v>113</v>
      </c>
      <c r="E124" s="5" t="s">
        <v>114</v>
      </c>
      <c r="F124" s="5" t="s">
        <v>5</v>
      </c>
      <c r="G124" s="5" t="s">
        <v>95</v>
      </c>
      <c r="H124" s="6" t="s">
        <v>115</v>
      </c>
      <c r="I124" s="5" t="s">
        <v>97</v>
      </c>
      <c r="J124" s="6" t="s">
        <v>173</v>
      </c>
      <c r="K124" s="5" t="s">
        <v>174</v>
      </c>
      <c r="L124" s="15" t="s">
        <v>353</v>
      </c>
      <c r="M124" s="33" t="s">
        <v>124</v>
      </c>
      <c r="N124" s="34" t="s">
        <v>125</v>
      </c>
      <c r="O124" s="33" t="s">
        <v>127</v>
      </c>
      <c r="P124" s="34" t="s">
        <v>126</v>
      </c>
      <c r="Q124" s="51" t="s">
        <v>175</v>
      </c>
      <c r="R124" s="17"/>
      <c r="S124" s="17"/>
    </row>
    <row r="125" spans="2:19" ht="15">
      <c r="B125" s="4" t="s">
        <v>112</v>
      </c>
      <c r="C125" s="4">
        <v>1000000</v>
      </c>
      <c r="D125" s="4">
        <v>0.85</v>
      </c>
      <c r="E125" s="4">
        <v>0.9</v>
      </c>
      <c r="F125" s="4">
        <v>18</v>
      </c>
      <c r="G125" s="4">
        <v>34500</v>
      </c>
      <c r="H125" s="7">
        <f>((C125*F125*365)/G125)*((1/D125)-(1/E125))*4.184</f>
        <v>52077.06734867859</v>
      </c>
      <c r="I125" s="13">
        <v>1</v>
      </c>
      <c r="J125" s="7">
        <f>H125*I125</f>
        <v>52077.06734867859</v>
      </c>
      <c r="K125" s="4">
        <v>5000</v>
      </c>
      <c r="L125" s="73">
        <f>(K125/J125)*(365/30)</f>
        <v>1.1681405353728491</v>
      </c>
      <c r="M125" s="35">
        <v>15</v>
      </c>
      <c r="N125" s="36">
        <f>-1530*LN(M125)+8080</f>
        <v>3936.6831923136187</v>
      </c>
      <c r="O125" s="35">
        <v>60</v>
      </c>
      <c r="P125" s="37">
        <f>(O125*100)/(N125-O125)</f>
        <v>1.5477148124707034</v>
      </c>
      <c r="Q125" s="52">
        <f>K125/(((C125*F125*365*4.18)/(G125*D125))*I125)</f>
        <v>0.005339079329706583</v>
      </c>
      <c r="R125" s="26"/>
      <c r="S125" s="19"/>
    </row>
    <row r="127" spans="2:12" ht="12.75">
      <c r="B127" s="89" t="s">
        <v>116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</row>
    <row r="128" spans="2:12" ht="12.75">
      <c r="B128" s="89" t="s">
        <v>117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 ht="12.75">
      <c r="B129" s="89" t="s">
        <v>118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2:12" ht="12.75">
      <c r="B130" s="89" t="s">
        <v>119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2:12" ht="12.75">
      <c r="B131" s="89" t="s">
        <v>121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</row>
    <row r="132" spans="2:12" ht="12.75">
      <c r="B132" s="89" t="s">
        <v>120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2:12" ht="12.75">
      <c r="B133" s="89" t="s">
        <v>122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2:12" ht="12.75">
      <c r="B134" s="89" t="s">
        <v>123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2:12" ht="12.75">
      <c r="B135" s="132" t="s">
        <v>128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</row>
    <row r="138" spans="2:14" ht="15.75">
      <c r="B138" s="103" t="s">
        <v>370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</row>
    <row r="139" spans="2:14" ht="15.75">
      <c r="B139" s="40"/>
      <c r="C139" s="40"/>
      <c r="D139" s="40"/>
      <c r="E139" s="40"/>
      <c r="F139" s="40"/>
      <c r="G139" s="40"/>
      <c r="H139" s="108" t="s">
        <v>143</v>
      </c>
      <c r="I139" s="108"/>
      <c r="J139" s="108"/>
      <c r="K139" s="40"/>
      <c r="L139" s="40"/>
      <c r="M139" s="40"/>
      <c r="N139" s="40"/>
    </row>
    <row r="140" spans="2:19" ht="75">
      <c r="B140" s="4" t="s">
        <v>0</v>
      </c>
      <c r="C140" s="5" t="s">
        <v>90</v>
      </c>
      <c r="D140" s="5" t="s">
        <v>95</v>
      </c>
      <c r="E140" s="5" t="s">
        <v>96</v>
      </c>
      <c r="F140" s="5" t="s">
        <v>5</v>
      </c>
      <c r="G140" s="6" t="s">
        <v>135</v>
      </c>
      <c r="H140" s="5" t="s">
        <v>136</v>
      </c>
      <c r="I140" s="5" t="s">
        <v>137</v>
      </c>
      <c r="J140" s="5" t="s">
        <v>138</v>
      </c>
      <c r="K140" s="38" t="s">
        <v>139</v>
      </c>
      <c r="L140" s="38" t="s">
        <v>140</v>
      </c>
      <c r="M140" s="38" t="s">
        <v>141</v>
      </c>
      <c r="N140" s="6" t="s">
        <v>142</v>
      </c>
      <c r="O140" s="5" t="s">
        <v>97</v>
      </c>
      <c r="P140" s="6" t="s">
        <v>99</v>
      </c>
      <c r="Q140" s="5" t="s">
        <v>176</v>
      </c>
      <c r="R140" s="15" t="s">
        <v>353</v>
      </c>
      <c r="S140" s="22" t="s">
        <v>175</v>
      </c>
    </row>
    <row r="141" spans="2:19" ht="15">
      <c r="B141" s="4" t="s">
        <v>112</v>
      </c>
      <c r="C141" s="4">
        <v>1000000</v>
      </c>
      <c r="D141" s="4">
        <v>34500</v>
      </c>
      <c r="E141" s="4">
        <v>0.98</v>
      </c>
      <c r="F141" s="4">
        <v>18</v>
      </c>
      <c r="G141" s="7">
        <f>(C141*F141*365*4.18)/(D141*E141)</f>
        <v>812262.64418811</v>
      </c>
      <c r="H141" s="11">
        <v>815</v>
      </c>
      <c r="I141" s="11">
        <v>50</v>
      </c>
      <c r="J141" s="11">
        <v>25</v>
      </c>
      <c r="K141" s="39">
        <f>-(0.0002*I141+0.027)*(1.8*H141+32)+98</f>
        <v>42.537000000000006</v>
      </c>
      <c r="L141" s="39">
        <f>-(0.0002*J141+0.027)*(1.8*H141+32)+98</f>
        <v>50.032</v>
      </c>
      <c r="M141" s="39">
        <f>((L141-K141)/L141)*100</f>
        <v>14.980412535976956</v>
      </c>
      <c r="N141" s="7">
        <f>(M141/100)*G141</f>
        <v>121680.29497501353</v>
      </c>
      <c r="O141" s="13">
        <v>1</v>
      </c>
      <c r="P141" s="7">
        <f>N141*O141</f>
        <v>121680.29497501353</v>
      </c>
      <c r="Q141" s="4">
        <v>1500</v>
      </c>
      <c r="R141" s="49">
        <f>(Q141/P141)*(365/30)</f>
        <v>0.1499831998578533</v>
      </c>
      <c r="S141" s="50">
        <f>Q141/(G141*O141)</f>
        <v>0.001846693321098512</v>
      </c>
    </row>
    <row r="143" spans="2:16" ht="12.75">
      <c r="B143" s="90" t="s">
        <v>236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6" spans="2:14" ht="15.75">
      <c r="B146" s="103" t="s">
        <v>371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</row>
    <row r="147" spans="2:14" ht="15.75">
      <c r="B147" s="40"/>
      <c r="C147" s="40"/>
      <c r="D147" s="40"/>
      <c r="E147" s="40"/>
      <c r="F147" s="40"/>
      <c r="G147" s="40"/>
      <c r="H147" s="129" t="s">
        <v>149</v>
      </c>
      <c r="I147" s="129"/>
      <c r="J147" s="129"/>
      <c r="K147" s="130" t="s">
        <v>157</v>
      </c>
      <c r="L147" s="131"/>
      <c r="M147" s="131"/>
      <c r="N147" s="131"/>
    </row>
    <row r="148" spans="2:23" ht="90">
      <c r="B148" s="4" t="s">
        <v>0</v>
      </c>
      <c r="C148" s="5" t="s">
        <v>90</v>
      </c>
      <c r="D148" s="5" t="s">
        <v>153</v>
      </c>
      <c r="E148" s="5" t="s">
        <v>103</v>
      </c>
      <c r="F148" s="5" t="s">
        <v>5</v>
      </c>
      <c r="G148" s="6" t="s">
        <v>135</v>
      </c>
      <c r="H148" s="5" t="s">
        <v>136</v>
      </c>
      <c r="I148" s="5" t="s">
        <v>148</v>
      </c>
      <c r="J148" s="43" t="s">
        <v>161</v>
      </c>
      <c r="K148" s="5" t="s">
        <v>158</v>
      </c>
      <c r="L148" s="5" t="s">
        <v>150</v>
      </c>
      <c r="M148" s="5" t="s">
        <v>151</v>
      </c>
      <c r="N148" s="44" t="s">
        <v>152</v>
      </c>
      <c r="O148" s="43" t="s">
        <v>155</v>
      </c>
      <c r="P148" s="43" t="s">
        <v>156</v>
      </c>
      <c r="Q148" s="43" t="s">
        <v>159</v>
      </c>
      <c r="R148" s="43" t="s">
        <v>160</v>
      </c>
      <c r="S148" s="5" t="s">
        <v>104</v>
      </c>
      <c r="T148" s="6" t="s">
        <v>99</v>
      </c>
      <c r="U148" s="5" t="s">
        <v>176</v>
      </c>
      <c r="V148" s="15" t="s">
        <v>353</v>
      </c>
      <c r="W148" s="22" t="s">
        <v>175</v>
      </c>
    </row>
    <row r="149" spans="2:23" ht="15">
      <c r="B149" s="4" t="s">
        <v>154</v>
      </c>
      <c r="C149" s="4">
        <v>500000</v>
      </c>
      <c r="D149" s="4">
        <v>25100</v>
      </c>
      <c r="E149" s="4">
        <v>0.6</v>
      </c>
      <c r="F149" s="4">
        <v>19.5</v>
      </c>
      <c r="G149" s="7">
        <f>(C149*F149*365*4.18)/(D149*E149)</f>
        <v>987753.9840637449</v>
      </c>
      <c r="H149" s="11">
        <v>537</v>
      </c>
      <c r="I149" s="11">
        <v>315</v>
      </c>
      <c r="J149" s="46">
        <f>(0.021*I149+1.5)*POWER(2.71,(0.0008*H149))</f>
        <v>12.453520257070972</v>
      </c>
      <c r="K149" s="11">
        <v>16</v>
      </c>
      <c r="L149" s="11">
        <v>25</v>
      </c>
      <c r="M149" s="11">
        <v>120</v>
      </c>
      <c r="N149" s="45">
        <f>K149*1*(M149-L149)</f>
        <v>1520</v>
      </c>
      <c r="O149" s="47">
        <f>E149+((M149-L149)/2800)</f>
        <v>0.6339285714285714</v>
      </c>
      <c r="P149" s="46">
        <f>((C149*F149*365*4.18)*((1/E149)-(1/O149)))/D149</f>
        <v>52865.70618932717</v>
      </c>
      <c r="Q149" s="46">
        <f>(N149*F149*365*3600)/D149</f>
        <v>1551671.7131474104</v>
      </c>
      <c r="R149" s="46">
        <f>Q149+P149</f>
        <v>1604537.4193367376</v>
      </c>
      <c r="S149" s="13">
        <v>0.328</v>
      </c>
      <c r="T149" s="7">
        <f>R149*S149</f>
        <v>526288.2735424499</v>
      </c>
      <c r="U149" s="4">
        <v>30000</v>
      </c>
      <c r="V149" s="73">
        <f>(U149/T149)*(365/30)</f>
        <v>0.6935362582623825</v>
      </c>
      <c r="W149" s="50">
        <f>U149/(G149*S149)</f>
        <v>0.09259736342227068</v>
      </c>
    </row>
    <row r="151" spans="2:12" ht="12.75">
      <c r="B151" s="89" t="s">
        <v>147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2:12" ht="12.75">
      <c r="B152" s="89" t="s">
        <v>146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2:22" ht="12.75">
      <c r="B153" s="89" t="s">
        <v>144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T153" s="42"/>
      <c r="U153" s="42"/>
      <c r="V153" s="42"/>
    </row>
    <row r="154" spans="2:22" ht="12.75">
      <c r="B154" s="89" t="s">
        <v>145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N154" s="41"/>
      <c r="O154" s="42"/>
      <c r="P154" s="42"/>
      <c r="Q154" s="42"/>
      <c r="R154" s="42"/>
      <c r="S154" s="42"/>
      <c r="T154" s="42"/>
      <c r="U154" s="42"/>
      <c r="V154" s="42"/>
    </row>
    <row r="155" spans="14:22" ht="12.75">
      <c r="N155" s="41"/>
      <c r="O155" s="42"/>
      <c r="P155" s="42"/>
      <c r="Q155" s="42"/>
      <c r="R155" s="42"/>
      <c r="S155" s="42"/>
      <c r="T155" s="42"/>
      <c r="U155" s="42"/>
      <c r="V155" s="42"/>
    </row>
    <row r="156" spans="14:22" ht="12.75">
      <c r="N156" s="41"/>
      <c r="O156" s="42"/>
      <c r="P156" s="42"/>
      <c r="Q156" s="42"/>
      <c r="R156" s="42"/>
      <c r="S156" s="42"/>
      <c r="T156" s="42"/>
      <c r="U156" s="42"/>
      <c r="V156" s="42"/>
    </row>
    <row r="157" spans="2:22" ht="15.75">
      <c r="B157" s="103" t="s">
        <v>372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S157" s="42"/>
      <c r="T157" s="42"/>
      <c r="U157" s="42"/>
      <c r="V157" s="42"/>
    </row>
    <row r="158" spans="2:22" ht="15.75">
      <c r="B158" s="40"/>
      <c r="C158" s="40"/>
      <c r="D158" s="40"/>
      <c r="E158" s="40"/>
      <c r="F158" s="40"/>
      <c r="G158" s="40"/>
      <c r="H158" s="108" t="s">
        <v>143</v>
      </c>
      <c r="I158" s="108"/>
      <c r="J158" s="108"/>
      <c r="K158" s="109"/>
      <c r="L158" s="109"/>
      <c r="M158" s="40"/>
      <c r="N158" s="40"/>
      <c r="S158" s="42"/>
      <c r="T158" s="42"/>
      <c r="U158" s="42"/>
      <c r="V158" s="42"/>
    </row>
    <row r="159" spans="2:20" ht="75">
      <c r="B159" s="4" t="s">
        <v>0</v>
      </c>
      <c r="C159" s="5" t="s">
        <v>172</v>
      </c>
      <c r="D159" s="5" t="s">
        <v>95</v>
      </c>
      <c r="E159" s="5" t="s">
        <v>96</v>
      </c>
      <c r="F159" s="5" t="s">
        <v>5</v>
      </c>
      <c r="G159" s="6" t="s">
        <v>135</v>
      </c>
      <c r="H159" s="5" t="s">
        <v>165</v>
      </c>
      <c r="I159" s="5" t="s">
        <v>166</v>
      </c>
      <c r="J159" s="5" t="s">
        <v>167</v>
      </c>
      <c r="K159" s="48" t="s">
        <v>168</v>
      </c>
      <c r="L159" s="5" t="s">
        <v>169</v>
      </c>
      <c r="M159" s="15" t="s">
        <v>170</v>
      </c>
      <c r="N159" s="15" t="s">
        <v>171</v>
      </c>
      <c r="O159" s="6" t="s">
        <v>142</v>
      </c>
      <c r="P159" s="5" t="s">
        <v>97</v>
      </c>
      <c r="Q159" s="6" t="s">
        <v>99</v>
      </c>
      <c r="R159" s="5" t="s">
        <v>177</v>
      </c>
      <c r="S159" s="15" t="s">
        <v>353</v>
      </c>
      <c r="T159" s="22" t="s">
        <v>175</v>
      </c>
    </row>
    <row r="160" spans="2:20" ht="15">
      <c r="B160" s="4" t="s">
        <v>164</v>
      </c>
      <c r="C160" s="4">
        <v>1000000</v>
      </c>
      <c r="D160" s="4">
        <v>34500</v>
      </c>
      <c r="E160" s="4">
        <v>0.85</v>
      </c>
      <c r="F160" s="4">
        <v>7</v>
      </c>
      <c r="G160" s="7">
        <f>(C160*F160*365*4.18)/(D160*E160)</f>
        <v>364190.96334185847</v>
      </c>
      <c r="H160" s="11">
        <v>12</v>
      </c>
      <c r="I160" s="11">
        <v>75</v>
      </c>
      <c r="J160" s="5">
        <v>15</v>
      </c>
      <c r="K160" s="48">
        <v>25</v>
      </c>
      <c r="L160" s="11">
        <v>30</v>
      </c>
      <c r="M160" s="49">
        <f>((3.14*(H160/100)*L160)*K160*(I160-J160))/1000</f>
        <v>16.956</v>
      </c>
      <c r="N160" s="49">
        <f>M160*0.1</f>
        <v>1.6956</v>
      </c>
      <c r="O160" s="7">
        <f>((M160-N160)*F160*365*3600)/(D160*E160)</f>
        <v>4786.535693094629</v>
      </c>
      <c r="P160" s="13">
        <v>1</v>
      </c>
      <c r="Q160" s="7">
        <f>O160*P160</f>
        <v>4786.535693094629</v>
      </c>
      <c r="R160" s="4">
        <v>15000</v>
      </c>
      <c r="S160" s="73">
        <f>(R160/Q160)*(365/30)</f>
        <v>38.12778420586866</v>
      </c>
      <c r="T160" s="50">
        <f>R160/(G160*P160)</f>
        <v>0.04118718340059364</v>
      </c>
    </row>
    <row r="161" spans="14:20" ht="12.75">
      <c r="N161" s="41"/>
      <c r="O161" s="42"/>
      <c r="P161" s="42"/>
      <c r="Q161" s="42"/>
      <c r="R161" s="42"/>
      <c r="S161" s="42"/>
      <c r="T161" s="42"/>
    </row>
    <row r="162" spans="2:20" ht="12.75">
      <c r="B162" s="89" t="s">
        <v>234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42"/>
      <c r="P162" s="42"/>
      <c r="Q162" s="42"/>
      <c r="R162" s="42"/>
      <c r="S162" s="42"/>
      <c r="T162" s="42"/>
    </row>
    <row r="163" spans="2:14" ht="12.75">
      <c r="B163" s="89" t="s">
        <v>162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</row>
    <row r="164" spans="2:14" ht="12.75">
      <c r="B164" s="89" t="s">
        <v>163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</row>
    <row r="165" spans="15:16" ht="12.75">
      <c r="O165" s="42"/>
      <c r="P165" s="42"/>
    </row>
    <row r="166" spans="2:20" ht="15.75">
      <c r="B166" s="103" t="s">
        <v>373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89"/>
      <c r="P166" s="89"/>
      <c r="Q166" s="89"/>
      <c r="R166" s="89"/>
      <c r="S166" s="89"/>
      <c r="T166" s="89"/>
    </row>
    <row r="167" spans="2:20" ht="15.75">
      <c r="B167" s="62"/>
      <c r="C167" s="62"/>
      <c r="D167" s="62"/>
      <c r="E167" s="62"/>
      <c r="F167" s="62"/>
      <c r="G167" s="62"/>
      <c r="H167" s="62"/>
      <c r="I167" s="62"/>
      <c r="J167" s="65" t="s">
        <v>219</v>
      </c>
      <c r="K167" s="62"/>
      <c r="L167" s="63"/>
      <c r="M167" s="40"/>
      <c r="N167" s="40"/>
      <c r="S167" s="64" t="s">
        <v>220</v>
      </c>
      <c r="T167" s="64" t="s">
        <v>222</v>
      </c>
    </row>
    <row r="168" spans="2:22" ht="90">
      <c r="B168" s="4" t="s">
        <v>0</v>
      </c>
      <c r="C168" s="5" t="s">
        <v>90</v>
      </c>
      <c r="D168" s="5" t="s">
        <v>210</v>
      </c>
      <c r="E168" s="5" t="s">
        <v>211</v>
      </c>
      <c r="F168" s="5" t="s">
        <v>5</v>
      </c>
      <c r="G168" s="5" t="s">
        <v>95</v>
      </c>
      <c r="H168" s="6" t="s">
        <v>115</v>
      </c>
      <c r="I168" s="5" t="s">
        <v>97</v>
      </c>
      <c r="J168" s="6" t="s">
        <v>173</v>
      </c>
      <c r="K168" s="4" t="s">
        <v>213</v>
      </c>
      <c r="L168" s="5" t="s">
        <v>215</v>
      </c>
      <c r="M168" s="5" t="s">
        <v>216</v>
      </c>
      <c r="N168" s="5" t="s">
        <v>217</v>
      </c>
      <c r="O168" s="5" t="s">
        <v>5</v>
      </c>
      <c r="P168" s="5" t="s">
        <v>218</v>
      </c>
      <c r="Q168" s="6" t="s">
        <v>223</v>
      </c>
      <c r="R168" s="5" t="s">
        <v>190</v>
      </c>
      <c r="S168" s="6" t="s">
        <v>173</v>
      </c>
      <c r="T168" s="6" t="s">
        <v>221</v>
      </c>
      <c r="U168" s="5" t="s">
        <v>212</v>
      </c>
      <c r="V168" s="15" t="s">
        <v>353</v>
      </c>
    </row>
    <row r="169" spans="2:22" ht="15">
      <c r="B169" s="4" t="s">
        <v>112</v>
      </c>
      <c r="C169" s="4">
        <v>1000000</v>
      </c>
      <c r="D169" s="4">
        <v>0.85</v>
      </c>
      <c r="E169" s="4">
        <v>0.1</v>
      </c>
      <c r="F169" s="4">
        <v>18</v>
      </c>
      <c r="G169" s="4">
        <v>34500</v>
      </c>
      <c r="H169" s="7">
        <f>((C169*F169*365)/G169)*((1/D169)*(E169))*4.184</f>
        <v>93738.7212276215</v>
      </c>
      <c r="I169" s="13">
        <v>1</v>
      </c>
      <c r="J169" s="7">
        <f>H169*I169</f>
        <v>93738.7212276215</v>
      </c>
      <c r="K169" s="4" t="s">
        <v>214</v>
      </c>
      <c r="L169" s="4">
        <v>1400000</v>
      </c>
      <c r="M169" s="4">
        <v>0.8</v>
      </c>
      <c r="N169" s="4">
        <v>0.07</v>
      </c>
      <c r="O169" s="4">
        <v>18</v>
      </c>
      <c r="P169" s="4">
        <v>3273</v>
      </c>
      <c r="Q169" s="7">
        <f>((L169*O169*365)/P169)*((1/M169)*(N169))*4.184</f>
        <v>1028838.3134738774</v>
      </c>
      <c r="R169" s="13">
        <v>0.11</v>
      </c>
      <c r="S169" s="7">
        <f>Q169*R169</f>
        <v>113172.21448212651</v>
      </c>
      <c r="T169" s="7">
        <f>J169+S169</f>
        <v>206910.935709748</v>
      </c>
      <c r="U169" s="4">
        <v>10000</v>
      </c>
      <c r="V169" s="49">
        <f>(U169/T169)*(365/30)</f>
        <v>0.5880146752481904</v>
      </c>
    </row>
    <row r="170" spans="2:14" ht="12.75">
      <c r="B170" s="89" t="s">
        <v>235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</row>
    <row r="171" spans="2:14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</row>
    <row r="172" spans="2:14" ht="15.75">
      <c r="B172" s="104" t="s">
        <v>374</v>
      </c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66"/>
      <c r="N172" s="66"/>
    </row>
    <row r="173" spans="2:20" ht="15.75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8"/>
      <c r="M173" s="40"/>
      <c r="N173" s="40"/>
      <c r="S173" s="67"/>
      <c r="T173" s="67"/>
    </row>
    <row r="174" spans="2:20" ht="135">
      <c r="B174" s="4" t="s">
        <v>0</v>
      </c>
      <c r="C174" s="5" t="s">
        <v>90</v>
      </c>
      <c r="D174" s="5" t="s">
        <v>210</v>
      </c>
      <c r="E174" s="5" t="s">
        <v>262</v>
      </c>
      <c r="F174" s="5" t="s">
        <v>5</v>
      </c>
      <c r="G174" s="5" t="s">
        <v>95</v>
      </c>
      <c r="H174" s="6" t="s">
        <v>115</v>
      </c>
      <c r="I174" s="5" t="s">
        <v>97</v>
      </c>
      <c r="J174" s="6" t="s">
        <v>173</v>
      </c>
      <c r="K174" s="5" t="s">
        <v>212</v>
      </c>
      <c r="L174" s="15" t="s">
        <v>353</v>
      </c>
      <c r="M174" s="17"/>
      <c r="N174" s="17"/>
      <c r="O174" s="17"/>
      <c r="P174" s="17"/>
      <c r="Q174" s="17"/>
      <c r="R174" s="17"/>
      <c r="S174" s="17"/>
      <c r="T174" s="17"/>
    </row>
    <row r="175" spans="2:20" ht="15">
      <c r="B175" s="4" t="s">
        <v>261</v>
      </c>
      <c r="C175" s="4">
        <v>1000000</v>
      </c>
      <c r="D175" s="4">
        <v>0.85</v>
      </c>
      <c r="E175" s="4">
        <v>0.2</v>
      </c>
      <c r="F175" s="4">
        <v>18</v>
      </c>
      <c r="G175" s="4">
        <v>34500</v>
      </c>
      <c r="H175" s="7">
        <f>((C175*F175*365)/G175)*((1/D175)*(E175))*4.184</f>
        <v>187477.442455243</v>
      </c>
      <c r="I175" s="13">
        <v>1</v>
      </c>
      <c r="J175" s="7">
        <f>H175*I175</f>
        <v>187477.442455243</v>
      </c>
      <c r="K175" s="4">
        <v>15000</v>
      </c>
      <c r="L175" s="49">
        <f>(K175/J175)*(365/30)</f>
        <v>0.9734504461440405</v>
      </c>
      <c r="M175" s="18"/>
      <c r="N175" s="18"/>
      <c r="O175" s="18"/>
      <c r="P175" s="18"/>
      <c r="Q175" s="19"/>
      <c r="R175" s="26"/>
      <c r="S175" s="19"/>
      <c r="T175" s="19"/>
    </row>
    <row r="176" spans="2:14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</row>
    <row r="177" spans="2:14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</row>
    <row r="178" spans="2:14" ht="15.75">
      <c r="B178" s="104" t="s">
        <v>375</v>
      </c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66"/>
      <c r="N178" s="66"/>
    </row>
    <row r="179" spans="2:14" ht="15.75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8"/>
      <c r="M179" s="66"/>
      <c r="N179" s="66"/>
    </row>
    <row r="180" spans="2:14" ht="135">
      <c r="B180" s="4" t="s">
        <v>0</v>
      </c>
      <c r="C180" s="5" t="s">
        <v>90</v>
      </c>
      <c r="D180" s="5" t="s">
        <v>210</v>
      </c>
      <c r="E180" s="5" t="s">
        <v>262</v>
      </c>
      <c r="F180" s="5" t="s">
        <v>5</v>
      </c>
      <c r="G180" s="5" t="s">
        <v>95</v>
      </c>
      <c r="H180" s="6" t="s">
        <v>115</v>
      </c>
      <c r="I180" s="5" t="s">
        <v>97</v>
      </c>
      <c r="J180" s="6" t="s">
        <v>173</v>
      </c>
      <c r="K180" s="5" t="s">
        <v>212</v>
      </c>
      <c r="L180" s="15" t="s">
        <v>353</v>
      </c>
      <c r="M180" s="66"/>
      <c r="N180" s="66"/>
    </row>
    <row r="181" spans="2:14" ht="15">
      <c r="B181" s="4" t="s">
        <v>261</v>
      </c>
      <c r="C181" s="4">
        <v>2000000</v>
      </c>
      <c r="D181" s="4">
        <v>0.85</v>
      </c>
      <c r="E181" s="4">
        <v>0.1</v>
      </c>
      <c r="F181" s="4">
        <v>18</v>
      </c>
      <c r="G181" s="4">
        <v>34500</v>
      </c>
      <c r="H181" s="7">
        <f>((C181*F181*365)/G181)*((1/D181)*(E181))*4.184</f>
        <v>187477.442455243</v>
      </c>
      <c r="I181" s="13">
        <v>1</v>
      </c>
      <c r="J181" s="7">
        <f>H181*I181</f>
        <v>187477.442455243</v>
      </c>
      <c r="K181" s="4">
        <v>15000</v>
      </c>
      <c r="L181" s="49">
        <f>(K181/J181)*(365/30)</f>
        <v>0.9734504461440405</v>
      </c>
      <c r="M181" s="66"/>
      <c r="N181" s="66"/>
    </row>
    <row r="182" spans="2:14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</row>
    <row r="183" spans="2:14" ht="15.75">
      <c r="B183" s="105" t="s">
        <v>263</v>
      </c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66"/>
      <c r="N183" s="66"/>
    </row>
    <row r="184" spans="2:14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</row>
    <row r="185" spans="2:14" ht="15.75">
      <c r="B185" s="104" t="s">
        <v>376</v>
      </c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66"/>
      <c r="N185" s="66"/>
    </row>
    <row r="186" spans="2:14" ht="15.75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8"/>
      <c r="M186" s="66"/>
      <c r="N186" s="66"/>
    </row>
    <row r="187" spans="2:14" ht="78.75" customHeight="1">
      <c r="B187" s="4" t="s">
        <v>0</v>
      </c>
      <c r="C187" s="5" t="s">
        <v>90</v>
      </c>
      <c r="D187" s="5" t="s">
        <v>210</v>
      </c>
      <c r="E187" s="5" t="s">
        <v>337</v>
      </c>
      <c r="F187" s="5" t="s">
        <v>5</v>
      </c>
      <c r="G187" s="5" t="s">
        <v>95</v>
      </c>
      <c r="H187" s="6" t="s">
        <v>115</v>
      </c>
      <c r="I187" s="5" t="s">
        <v>97</v>
      </c>
      <c r="J187" s="6" t="s">
        <v>173</v>
      </c>
      <c r="K187" s="5" t="s">
        <v>338</v>
      </c>
      <c r="L187" s="15" t="s">
        <v>353</v>
      </c>
      <c r="M187" s="66"/>
      <c r="N187" s="66"/>
    </row>
    <row r="188" spans="2:14" ht="15">
      <c r="B188" s="4" t="s">
        <v>261</v>
      </c>
      <c r="C188" s="4">
        <v>20000</v>
      </c>
      <c r="D188" s="4">
        <v>0.85</v>
      </c>
      <c r="E188" s="4">
        <v>0.35</v>
      </c>
      <c r="F188" s="4">
        <v>18</v>
      </c>
      <c r="G188" s="4">
        <v>34500</v>
      </c>
      <c r="H188" s="7">
        <f>((C188*F188*365)/G188)*((1/D188)*(E188))*4.184</f>
        <v>6561.710485933504</v>
      </c>
      <c r="I188" s="13">
        <v>1</v>
      </c>
      <c r="J188" s="7">
        <f>H188*I188</f>
        <v>6561.710485933504</v>
      </c>
      <c r="K188" s="4">
        <v>120</v>
      </c>
      <c r="L188" s="16">
        <f>(K188/J188)*(365/30)</f>
        <v>0.22250295911863788</v>
      </c>
      <c r="M188" s="66"/>
      <c r="N188" s="66"/>
    </row>
    <row r="189" spans="2:14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</row>
    <row r="190" spans="2:14" ht="15.75">
      <c r="B190" s="107" t="s">
        <v>336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66"/>
      <c r="N190" s="66"/>
    </row>
    <row r="191" spans="2:14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</row>
    <row r="192" spans="2:14" ht="15.75">
      <c r="B192" s="104" t="s">
        <v>377</v>
      </c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66"/>
      <c r="N192" s="66"/>
    </row>
    <row r="193" spans="2:14" ht="9" customHeight="1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8"/>
      <c r="M193" s="66"/>
      <c r="N193" s="66"/>
    </row>
    <row r="194" spans="2:14" ht="105">
      <c r="B194" s="4" t="s">
        <v>0</v>
      </c>
      <c r="C194" s="5" t="s">
        <v>90</v>
      </c>
      <c r="D194" s="5" t="s">
        <v>210</v>
      </c>
      <c r="E194" s="5" t="s">
        <v>333</v>
      </c>
      <c r="F194" s="5" t="s">
        <v>5</v>
      </c>
      <c r="G194" s="5" t="s">
        <v>95</v>
      </c>
      <c r="H194" s="6" t="s">
        <v>115</v>
      </c>
      <c r="I194" s="5" t="s">
        <v>97</v>
      </c>
      <c r="J194" s="6" t="s">
        <v>173</v>
      </c>
      <c r="K194" s="5" t="s">
        <v>334</v>
      </c>
      <c r="L194" s="15" t="s">
        <v>353</v>
      </c>
      <c r="M194" s="66"/>
      <c r="N194" s="66"/>
    </row>
    <row r="195" spans="2:14" ht="15">
      <c r="B195" s="4" t="s">
        <v>261</v>
      </c>
      <c r="C195" s="4">
        <v>200000</v>
      </c>
      <c r="D195" s="4">
        <v>0.85</v>
      </c>
      <c r="E195" s="4">
        <v>0.35</v>
      </c>
      <c r="F195" s="4">
        <v>18</v>
      </c>
      <c r="G195" s="4">
        <v>34500</v>
      </c>
      <c r="H195" s="7">
        <f>((C195*F195*365)/G195)*((1/D195)*(E195))*4.184</f>
        <v>65617.10485933504</v>
      </c>
      <c r="I195" s="13">
        <v>1</v>
      </c>
      <c r="J195" s="7">
        <f>H195*I195</f>
        <v>65617.10485933504</v>
      </c>
      <c r="K195" s="4">
        <v>15000</v>
      </c>
      <c r="L195" s="73">
        <f>(K195/J195)*(365/30)</f>
        <v>2.7812869889829734</v>
      </c>
      <c r="M195" s="66"/>
      <c r="N195" s="66"/>
    </row>
    <row r="196" spans="2:14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</row>
    <row r="197" spans="2:14" ht="15.75">
      <c r="B197" s="137" t="s">
        <v>335</v>
      </c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66"/>
      <c r="N197" s="66"/>
    </row>
    <row r="198" spans="2:14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</row>
    <row r="199" spans="2:14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</row>
    <row r="200" spans="2:14" ht="15.75">
      <c r="B200" s="104" t="s">
        <v>378</v>
      </c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66"/>
      <c r="N200" s="66"/>
    </row>
    <row r="201" spans="2:14" ht="15.75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8"/>
      <c r="M201" s="66"/>
      <c r="N201" s="66"/>
    </row>
    <row r="202" spans="2:14" ht="75">
      <c r="B202" s="4" t="s">
        <v>0</v>
      </c>
      <c r="C202" s="5" t="s">
        <v>90</v>
      </c>
      <c r="D202" s="5" t="s">
        <v>103</v>
      </c>
      <c r="E202" s="5" t="s">
        <v>279</v>
      </c>
      <c r="F202" s="5" t="s">
        <v>5</v>
      </c>
      <c r="G202" s="5" t="s">
        <v>153</v>
      </c>
      <c r="H202" s="6" t="s">
        <v>115</v>
      </c>
      <c r="I202" s="5" t="s">
        <v>104</v>
      </c>
      <c r="J202" s="6" t="s">
        <v>173</v>
      </c>
      <c r="K202" s="5" t="s">
        <v>280</v>
      </c>
      <c r="L202" s="15" t="s">
        <v>353</v>
      </c>
      <c r="M202" s="66"/>
      <c r="N202" s="66"/>
    </row>
    <row r="203" spans="2:14" ht="15">
      <c r="B203" s="4" t="s">
        <v>281</v>
      </c>
      <c r="C203" s="4">
        <v>800000</v>
      </c>
      <c r="D203" s="4">
        <v>0.6</v>
      </c>
      <c r="E203" s="4">
        <v>0.66</v>
      </c>
      <c r="F203" s="4">
        <v>18</v>
      </c>
      <c r="G203" s="4">
        <v>25100</v>
      </c>
      <c r="H203" s="7">
        <f>((C203*F203*365)/G203)*((1/D203)*(E203))*4.184</f>
        <v>963753.5617529881</v>
      </c>
      <c r="I203" s="13">
        <v>0.328</v>
      </c>
      <c r="J203" s="7">
        <f>H203*I203</f>
        <v>316111.1682549801</v>
      </c>
      <c r="K203" s="4">
        <f>0.28*C203</f>
        <v>224000.00000000003</v>
      </c>
      <c r="L203" s="73">
        <f>(K203/J203)*(365/30)</f>
        <v>8.621439566270046</v>
      </c>
      <c r="M203" s="66"/>
      <c r="N203" s="66"/>
    </row>
    <row r="204" spans="2:14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</row>
    <row r="205" spans="2:14" ht="12.75">
      <c r="B205" s="89" t="s">
        <v>282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66"/>
      <c r="N205" s="66"/>
    </row>
    <row r="206" spans="2:14" ht="12.75">
      <c r="B206" s="89" t="s">
        <v>283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66"/>
      <c r="N206" s="66"/>
    </row>
    <row r="207" spans="2:14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</row>
    <row r="208" spans="2:17" ht="15.75">
      <c r="B208" s="87" t="s">
        <v>379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9"/>
      <c r="O208" s="42"/>
      <c r="P208" s="42"/>
      <c r="Q208" s="42"/>
    </row>
    <row r="209" spans="3:17" ht="12.75">
      <c r="C209" s="86"/>
      <c r="D209" s="86"/>
      <c r="E209" s="86"/>
      <c r="F209" s="86"/>
      <c r="G209" s="86"/>
      <c r="H209" s="86"/>
      <c r="I209" s="86"/>
      <c r="O209" s="42"/>
      <c r="P209" s="42"/>
      <c r="Q209" s="42"/>
    </row>
    <row r="210" spans="2:17" ht="114" customHeight="1">
      <c r="B210" s="4" t="s">
        <v>0</v>
      </c>
      <c r="C210" s="55" t="s">
        <v>316</v>
      </c>
      <c r="D210" s="55" t="s">
        <v>322</v>
      </c>
      <c r="E210" s="5" t="s">
        <v>67</v>
      </c>
      <c r="F210" s="6" t="s">
        <v>317</v>
      </c>
      <c r="G210" s="22" t="s">
        <v>318</v>
      </c>
      <c r="H210" s="22" t="s">
        <v>319</v>
      </c>
      <c r="I210" s="22" t="s">
        <v>320</v>
      </c>
      <c r="J210" s="53" t="s">
        <v>321</v>
      </c>
      <c r="K210" s="15" t="s">
        <v>353</v>
      </c>
      <c r="L210" s="17"/>
      <c r="O210" s="42"/>
      <c r="P210" s="42"/>
      <c r="Q210" s="42"/>
    </row>
    <row r="211" spans="2:17" ht="15">
      <c r="B211" s="4" t="s">
        <v>315</v>
      </c>
      <c r="C211" s="4">
        <v>50000</v>
      </c>
      <c r="D211" s="4">
        <f>(1.16*C211)/1000</f>
        <v>57.99999999999999</v>
      </c>
      <c r="E211" s="4">
        <v>10</v>
      </c>
      <c r="F211" s="7">
        <f>D211*E211*365*0.8</f>
        <v>169360</v>
      </c>
      <c r="G211" s="23">
        <f>1350*D211</f>
        <v>78299.99999999999</v>
      </c>
      <c r="H211" s="23">
        <f>F211*0.13</f>
        <v>22016.8</v>
      </c>
      <c r="I211" s="23">
        <f>F211*0.002</f>
        <v>338.72</v>
      </c>
      <c r="J211" s="54">
        <f>H211-I211</f>
        <v>21678.079999999998</v>
      </c>
      <c r="K211" s="73">
        <f>G211/J211</f>
        <v>3.6119434931506844</v>
      </c>
      <c r="L211" s="26"/>
      <c r="O211" s="42"/>
      <c r="P211" s="42"/>
      <c r="Q211" s="42"/>
    </row>
    <row r="212" spans="15:17" ht="12.75">
      <c r="O212" s="42"/>
      <c r="P212" s="42"/>
      <c r="Q212" s="42"/>
    </row>
    <row r="213" spans="2:17" ht="15.75">
      <c r="B213" s="110" t="s">
        <v>339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2"/>
      <c r="M213" s="66"/>
      <c r="N213" s="66"/>
      <c r="O213" s="42"/>
      <c r="P213" s="42"/>
      <c r="Q213" s="42"/>
    </row>
    <row r="214" spans="15:17" ht="12.75">
      <c r="O214" s="42"/>
      <c r="P214" s="42"/>
      <c r="Q214" s="42"/>
    </row>
    <row r="215" spans="2:17" ht="15.75">
      <c r="B215" s="104" t="s">
        <v>380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O215" s="42"/>
      <c r="P215" s="42"/>
      <c r="Q215" s="42"/>
    </row>
    <row r="216" spans="2:17" ht="15.75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8"/>
      <c r="O216" s="42"/>
      <c r="P216" s="42"/>
      <c r="Q216" s="42"/>
    </row>
    <row r="217" spans="2:17" ht="90">
      <c r="B217" s="4" t="s">
        <v>0</v>
      </c>
      <c r="C217" s="5" t="s">
        <v>90</v>
      </c>
      <c r="D217" s="5" t="s">
        <v>210</v>
      </c>
      <c r="E217" s="5" t="s">
        <v>277</v>
      </c>
      <c r="F217" s="5" t="s">
        <v>5</v>
      </c>
      <c r="G217" s="5" t="s">
        <v>95</v>
      </c>
      <c r="H217" s="6" t="s">
        <v>115</v>
      </c>
      <c r="I217" s="5" t="s">
        <v>97</v>
      </c>
      <c r="J217" s="6" t="s">
        <v>173</v>
      </c>
      <c r="K217" s="5" t="s">
        <v>278</v>
      </c>
      <c r="L217" s="15" t="s">
        <v>353</v>
      </c>
      <c r="O217" s="42"/>
      <c r="P217" s="42"/>
      <c r="Q217" s="42"/>
    </row>
    <row r="218" spans="2:17" ht="15">
      <c r="B218" s="4" t="s">
        <v>261</v>
      </c>
      <c r="C218" s="4">
        <v>800000</v>
      </c>
      <c r="D218" s="4">
        <v>0.85</v>
      </c>
      <c r="E218" s="4">
        <v>0.25</v>
      </c>
      <c r="F218" s="4">
        <v>18</v>
      </c>
      <c r="G218" s="4">
        <v>34500</v>
      </c>
      <c r="H218" s="7">
        <f>((C218*F218*365)/G218)*((1/D218)*(E218))*4.184</f>
        <v>187477.44245524297</v>
      </c>
      <c r="I218" s="13">
        <v>1</v>
      </c>
      <c r="J218" s="7">
        <f>H218*I218</f>
        <v>187477.44245524297</v>
      </c>
      <c r="K218" s="4">
        <v>7500</v>
      </c>
      <c r="L218" s="16">
        <f>(K218/J218)*(365/30)</f>
        <v>0.4867252230720203</v>
      </c>
      <c r="O218" s="42"/>
      <c r="P218" s="42"/>
      <c r="Q218" s="42"/>
    </row>
    <row r="219" spans="2:17" ht="15">
      <c r="B219" s="18"/>
      <c r="C219" s="18"/>
      <c r="D219" s="18"/>
      <c r="E219" s="18"/>
      <c r="F219" s="18"/>
      <c r="G219" s="18"/>
      <c r="H219" s="19"/>
      <c r="I219" s="26"/>
      <c r="J219" s="19"/>
      <c r="K219" s="18"/>
      <c r="L219" s="140"/>
      <c r="O219" s="42"/>
      <c r="P219" s="42"/>
      <c r="Q219" s="42"/>
    </row>
    <row r="220" spans="2:17" ht="15.75">
      <c r="B220" s="104" t="s">
        <v>445</v>
      </c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O220" s="42"/>
      <c r="P220" s="42"/>
      <c r="Q220" s="42"/>
    </row>
    <row r="221" spans="2:17" ht="15.75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8"/>
      <c r="O221" s="42"/>
      <c r="P221" s="42"/>
      <c r="Q221" s="42"/>
    </row>
    <row r="222" spans="2:17" ht="75">
      <c r="B222" s="4" t="s">
        <v>0</v>
      </c>
      <c r="C222" s="5" t="s">
        <v>438</v>
      </c>
      <c r="D222" s="22" t="s">
        <v>439</v>
      </c>
      <c r="E222" s="15" t="s">
        <v>440</v>
      </c>
      <c r="F222" s="5" t="s">
        <v>190</v>
      </c>
      <c r="G222" s="5" t="s">
        <v>67</v>
      </c>
      <c r="H222" s="22" t="s">
        <v>441</v>
      </c>
      <c r="I222" s="5" t="s">
        <v>210</v>
      </c>
      <c r="J222" s="5" t="s">
        <v>95</v>
      </c>
      <c r="K222" s="141" t="s">
        <v>442</v>
      </c>
      <c r="L222" s="5" t="s">
        <v>97</v>
      </c>
      <c r="M222" s="22" t="s">
        <v>443</v>
      </c>
      <c r="N222" s="141" t="s">
        <v>173</v>
      </c>
      <c r="O222" s="5" t="s">
        <v>444</v>
      </c>
      <c r="P222" s="15" t="s">
        <v>353</v>
      </c>
      <c r="Q222" s="42"/>
    </row>
    <row r="223" spans="2:17" ht="15">
      <c r="B223" s="4" t="s">
        <v>437</v>
      </c>
      <c r="C223" s="4">
        <v>18</v>
      </c>
      <c r="D223" s="57">
        <v>2.6</v>
      </c>
      <c r="E223" s="16">
        <f>C223/D223</f>
        <v>6.9230769230769225</v>
      </c>
      <c r="F223" s="13">
        <v>0.37</v>
      </c>
      <c r="G223" s="4">
        <v>14</v>
      </c>
      <c r="H223" s="79">
        <f>E223*F223*G223*365</f>
        <v>13089.461538461537</v>
      </c>
      <c r="I223" s="4">
        <v>0.85</v>
      </c>
      <c r="J223" s="4">
        <v>34500</v>
      </c>
      <c r="K223" s="142">
        <f>(C223*860*G223*365*4.184)/(J223*I223)</f>
        <v>11286.142035805626</v>
      </c>
      <c r="L223" s="13">
        <v>1</v>
      </c>
      <c r="M223" s="23">
        <f>K223*L223</f>
        <v>11286.142035805626</v>
      </c>
      <c r="N223" s="142">
        <f>H223-M223</f>
        <v>1803.3195026559115</v>
      </c>
      <c r="O223" s="4">
        <v>14152</v>
      </c>
      <c r="P223" s="16">
        <f>(O223/N223)*(365/30)</f>
        <v>95.48095410329545</v>
      </c>
      <c r="Q223" s="42"/>
    </row>
    <row r="224" spans="2:17" ht="15">
      <c r="B224" s="18"/>
      <c r="C224" s="18"/>
      <c r="D224" s="18"/>
      <c r="E224" s="18"/>
      <c r="F224" s="18"/>
      <c r="G224" s="18"/>
      <c r="H224" s="19"/>
      <c r="I224" s="26"/>
      <c r="J224" s="19"/>
      <c r="K224" s="18"/>
      <c r="L224" s="140"/>
      <c r="O224" s="42"/>
      <c r="P224" s="42"/>
      <c r="Q224" s="42"/>
    </row>
    <row r="225" spans="2:17" ht="15.75">
      <c r="B225" s="104" t="s">
        <v>446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44"/>
      <c r="O225" s="42"/>
      <c r="P225" s="42"/>
      <c r="Q225" s="42"/>
    </row>
    <row r="226" spans="2:17" ht="15.75">
      <c r="B226" s="62"/>
      <c r="C226" s="62"/>
      <c r="D226" s="62"/>
      <c r="E226" s="62"/>
      <c r="F226" s="62"/>
      <c r="G226" s="62"/>
      <c r="H226" s="62"/>
      <c r="I226" s="62"/>
      <c r="J226" s="62"/>
      <c r="K226" s="68"/>
      <c r="L226" s="40"/>
      <c r="O226" s="42"/>
      <c r="P226" s="42"/>
      <c r="Q226" s="42"/>
    </row>
    <row r="227" spans="2:17" ht="75">
      <c r="B227" s="4" t="s">
        <v>0</v>
      </c>
      <c r="C227" s="5" t="s">
        <v>438</v>
      </c>
      <c r="D227" s="22" t="s">
        <v>439</v>
      </c>
      <c r="E227" s="15" t="s">
        <v>440</v>
      </c>
      <c r="F227" s="5" t="s">
        <v>190</v>
      </c>
      <c r="G227" s="5" t="s">
        <v>67</v>
      </c>
      <c r="H227" s="22" t="s">
        <v>441</v>
      </c>
      <c r="I227" s="141" t="s">
        <v>173</v>
      </c>
      <c r="J227" s="143" t="s">
        <v>447</v>
      </c>
      <c r="K227" s="15" t="s">
        <v>353</v>
      </c>
      <c r="L227" s="17"/>
      <c r="O227" s="42"/>
      <c r="P227" s="42"/>
      <c r="Q227" s="42"/>
    </row>
    <row r="228" spans="2:17" ht="15">
      <c r="B228" s="4" t="s">
        <v>437</v>
      </c>
      <c r="C228" s="4">
        <v>18</v>
      </c>
      <c r="D228" s="57">
        <v>2.6</v>
      </c>
      <c r="E228" s="16">
        <f>C228/D228</f>
        <v>6.9230769230769225</v>
      </c>
      <c r="F228" s="13">
        <v>0.37</v>
      </c>
      <c r="G228" s="4">
        <v>14</v>
      </c>
      <c r="H228" s="79">
        <f>E228*F228*G228*365</f>
        <v>13089.461538461537</v>
      </c>
      <c r="I228" s="142">
        <f>H228</f>
        <v>13089.461538461537</v>
      </c>
      <c r="J228" s="23">
        <f>1700*C228+300000</f>
        <v>330600</v>
      </c>
      <c r="K228" s="16">
        <f>(J228/I228)*(365/30)</f>
        <v>307.2930072930073</v>
      </c>
      <c r="L228" s="26"/>
      <c r="O228" s="42"/>
      <c r="P228" s="42"/>
      <c r="Q228" s="42"/>
    </row>
    <row r="229" spans="2:17" ht="15">
      <c r="B229" s="18"/>
      <c r="C229" s="18"/>
      <c r="D229" s="18"/>
      <c r="E229" s="18"/>
      <c r="F229" s="18"/>
      <c r="G229" s="18"/>
      <c r="H229" s="19"/>
      <c r="I229" s="26"/>
      <c r="J229" s="19"/>
      <c r="K229" s="18"/>
      <c r="L229" s="140"/>
      <c r="O229" s="42"/>
      <c r="P229" s="42"/>
      <c r="Q229" s="42"/>
    </row>
    <row r="230" spans="2:17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O230" s="42"/>
      <c r="P230" s="42"/>
      <c r="Q230" s="42"/>
    </row>
    <row r="231" spans="2:17" ht="15.75">
      <c r="B231" s="104" t="s">
        <v>448</v>
      </c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O231" s="42"/>
      <c r="P231" s="42"/>
      <c r="Q231" s="42"/>
    </row>
    <row r="232" spans="2:17" ht="15.75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8"/>
      <c r="O232" s="42"/>
      <c r="P232" s="42"/>
      <c r="Q232" s="42"/>
    </row>
    <row r="233" spans="2:17" ht="75">
      <c r="B233" s="4" t="s">
        <v>0</v>
      </c>
      <c r="C233" s="5" t="s">
        <v>90</v>
      </c>
      <c r="D233" s="78" t="s">
        <v>210</v>
      </c>
      <c r="E233" s="5" t="s">
        <v>340</v>
      </c>
      <c r="F233" s="5" t="s">
        <v>5</v>
      </c>
      <c r="G233" s="5" t="s">
        <v>95</v>
      </c>
      <c r="H233" s="6" t="s">
        <v>115</v>
      </c>
      <c r="I233" s="5" t="s">
        <v>97</v>
      </c>
      <c r="J233" s="6" t="s">
        <v>173</v>
      </c>
      <c r="K233" s="5" t="s">
        <v>351</v>
      </c>
      <c r="L233" s="15" t="s">
        <v>9</v>
      </c>
      <c r="O233" s="42"/>
      <c r="P233" s="42"/>
      <c r="Q233" s="42"/>
    </row>
    <row r="234" spans="2:17" ht="15">
      <c r="B234" s="4" t="s">
        <v>261</v>
      </c>
      <c r="C234" s="4">
        <v>2000000</v>
      </c>
      <c r="D234" s="4">
        <v>0.85</v>
      </c>
      <c r="E234" s="4">
        <v>0.24</v>
      </c>
      <c r="F234" s="4">
        <v>18</v>
      </c>
      <c r="G234" s="4">
        <v>34500</v>
      </c>
      <c r="H234" s="7">
        <f>((C234*F234*365)/G234)*((1/D234)*(E234))*4.184</f>
        <v>449945.8618925831</v>
      </c>
      <c r="I234" s="13">
        <v>1</v>
      </c>
      <c r="J234" s="7">
        <f>H234*I234</f>
        <v>449945.8618925831</v>
      </c>
      <c r="K234" s="4">
        <v>8000</v>
      </c>
      <c r="L234" s="49">
        <f>K234/J234</f>
        <v>0.017779916824548693</v>
      </c>
      <c r="O234" s="42"/>
      <c r="P234" s="42"/>
      <c r="Q234" s="42"/>
    </row>
    <row r="235" spans="2:17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O235" s="42"/>
      <c r="P235" s="42"/>
      <c r="Q235" s="42"/>
    </row>
    <row r="236" spans="2:17" ht="14.25">
      <c r="B236" s="139" t="s">
        <v>341</v>
      </c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O236" s="42"/>
      <c r="P236" s="42"/>
      <c r="Q236" s="42"/>
    </row>
    <row r="237" spans="2:17" ht="14.2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O237" s="42"/>
      <c r="P237" s="42"/>
      <c r="Q237" s="42"/>
    </row>
    <row r="238" spans="2:17" ht="15.75">
      <c r="B238" s="87" t="s">
        <v>449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76"/>
      <c r="O238" s="42"/>
      <c r="P238" s="42"/>
      <c r="Q238" s="42"/>
    </row>
    <row r="239" spans="3:17" ht="14.25">
      <c r="C239" s="86"/>
      <c r="D239" s="86"/>
      <c r="E239" s="86"/>
      <c r="F239" s="86"/>
      <c r="G239" s="86"/>
      <c r="H239" s="86"/>
      <c r="I239" s="86"/>
      <c r="L239" s="76"/>
      <c r="O239" s="42"/>
      <c r="P239" s="42"/>
      <c r="Q239" s="42"/>
    </row>
    <row r="240" spans="2:17" ht="90">
      <c r="B240" s="4" t="s">
        <v>0</v>
      </c>
      <c r="C240" s="55" t="s">
        <v>256</v>
      </c>
      <c r="D240" s="55" t="s">
        <v>257</v>
      </c>
      <c r="E240" s="5" t="s">
        <v>190</v>
      </c>
      <c r="F240" s="5" t="s">
        <v>67</v>
      </c>
      <c r="G240" s="22" t="s">
        <v>258</v>
      </c>
      <c r="H240" s="22" t="s">
        <v>259</v>
      </c>
      <c r="I240" s="55" t="s">
        <v>260</v>
      </c>
      <c r="J240" s="15" t="s">
        <v>353</v>
      </c>
      <c r="K240" s="17"/>
      <c r="L240" s="76"/>
      <c r="O240" s="42"/>
      <c r="P240" s="42"/>
      <c r="Q240" s="42"/>
    </row>
    <row r="241" spans="2:17" ht="15">
      <c r="B241" s="4" t="s">
        <v>255</v>
      </c>
      <c r="C241" s="4">
        <v>2300</v>
      </c>
      <c r="D241" s="4">
        <v>0.5</v>
      </c>
      <c r="E241" s="13">
        <v>0.37</v>
      </c>
      <c r="F241" s="4">
        <v>14</v>
      </c>
      <c r="G241" s="79">
        <f>(C241*E241*365*F241)</f>
        <v>4348610</v>
      </c>
      <c r="H241" s="79">
        <f>G241*D241</f>
        <v>2174305</v>
      </c>
      <c r="I241" s="56">
        <f>702*C241</f>
        <v>1614600</v>
      </c>
      <c r="J241" s="73">
        <f>(I241/H241)*(365/30)</f>
        <v>9.034749034749035</v>
      </c>
      <c r="K241" s="26"/>
      <c r="L241" s="76"/>
      <c r="O241" s="42"/>
      <c r="P241" s="42"/>
      <c r="Q241" s="42"/>
    </row>
    <row r="242" spans="2:17" ht="14.2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O242" s="42"/>
      <c r="P242" s="42"/>
      <c r="Q242" s="42"/>
    </row>
    <row r="243" spans="2:17" ht="14.2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O243" s="42"/>
      <c r="P243" s="42"/>
      <c r="Q243" s="42"/>
    </row>
    <row r="244" spans="2:17" ht="15.75">
      <c r="B244" s="91" t="s">
        <v>381</v>
      </c>
      <c r="C244" s="92"/>
      <c r="D244" s="92"/>
      <c r="E244" s="92"/>
      <c r="F244" s="92"/>
      <c r="G244" s="92"/>
      <c r="H244" s="92"/>
      <c r="I244" s="92"/>
      <c r="J244" s="92"/>
      <c r="K244" s="92"/>
      <c r="L244" s="93"/>
      <c r="O244" s="42"/>
      <c r="P244" s="42"/>
      <c r="Q244" s="42"/>
    </row>
    <row r="245" spans="15:17" ht="12.75">
      <c r="O245" s="42"/>
      <c r="P245" s="42"/>
      <c r="Q245" s="42"/>
    </row>
    <row r="246" spans="2:17" ht="15.75">
      <c r="B246" s="103" t="s">
        <v>382</v>
      </c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42"/>
      <c r="P246" s="42"/>
      <c r="Q246" s="42"/>
    </row>
    <row r="247" spans="3:17" ht="12.75">
      <c r="C247" s="96"/>
      <c r="D247" s="96"/>
      <c r="E247" s="96"/>
      <c r="F247" s="96"/>
      <c r="G247" s="97"/>
      <c r="H247" s="97"/>
      <c r="I247" s="97"/>
      <c r="O247" s="42"/>
      <c r="P247" s="42"/>
      <c r="Q247" s="42"/>
    </row>
    <row r="248" spans="2:17" ht="90">
      <c r="B248" s="4" t="s">
        <v>232</v>
      </c>
      <c r="C248" s="43" t="s">
        <v>224</v>
      </c>
      <c r="D248" s="43" t="s">
        <v>225</v>
      </c>
      <c r="E248" s="15" t="s">
        <v>226</v>
      </c>
      <c r="F248" s="43" t="s">
        <v>210</v>
      </c>
      <c r="G248" s="43" t="s">
        <v>5</v>
      </c>
      <c r="H248" s="43" t="s">
        <v>95</v>
      </c>
      <c r="I248" s="6" t="s">
        <v>227</v>
      </c>
      <c r="J248" s="5" t="s">
        <v>97</v>
      </c>
      <c r="K248" s="6" t="s">
        <v>228</v>
      </c>
      <c r="L248" s="55" t="s">
        <v>230</v>
      </c>
      <c r="M248" s="6" t="s">
        <v>229</v>
      </c>
      <c r="N248" s="5" t="s">
        <v>231</v>
      </c>
      <c r="O248" s="15" t="s">
        <v>353</v>
      </c>
      <c r="P248" s="42"/>
      <c r="Q248" s="42"/>
    </row>
    <row r="249" spans="2:17" ht="15">
      <c r="B249" s="4" t="s">
        <v>233</v>
      </c>
      <c r="C249" s="4">
        <v>3000</v>
      </c>
      <c r="D249" s="4">
        <v>170</v>
      </c>
      <c r="E249" s="58">
        <f>C249*D249</f>
        <v>510000</v>
      </c>
      <c r="F249" s="4">
        <v>0.85</v>
      </c>
      <c r="G249" s="4">
        <v>12</v>
      </c>
      <c r="H249" s="4">
        <v>34500</v>
      </c>
      <c r="I249" s="7">
        <f>((E249*G249*365)/H249)*((1/F249))*4.184</f>
        <v>318711.652173913</v>
      </c>
      <c r="J249" s="13">
        <v>1</v>
      </c>
      <c r="K249" s="7">
        <f>I249*J249</f>
        <v>318711.652173913</v>
      </c>
      <c r="L249" s="59">
        <v>120</v>
      </c>
      <c r="M249" s="7">
        <f>((D249/L249)-1)*K249</f>
        <v>132796.52173913046</v>
      </c>
      <c r="N249" s="4">
        <v>240000</v>
      </c>
      <c r="O249" s="73">
        <f>(N249/M249)*(365/30)</f>
        <v>21.988527724665385</v>
      </c>
      <c r="P249" s="42"/>
      <c r="Q249" s="42"/>
    </row>
    <row r="250" spans="2:17" ht="15">
      <c r="B250" s="18"/>
      <c r="C250" s="18"/>
      <c r="D250" s="18"/>
      <c r="E250" s="18"/>
      <c r="F250" s="18"/>
      <c r="G250" s="18"/>
      <c r="H250" s="18"/>
      <c r="I250" s="19"/>
      <c r="J250" s="26"/>
      <c r="K250" s="19"/>
      <c r="L250" s="19"/>
      <c r="M250" s="19"/>
      <c r="N250" s="18"/>
      <c r="O250" s="19"/>
      <c r="P250" s="42"/>
      <c r="Q250" s="42"/>
    </row>
    <row r="251" spans="2:17" ht="12.75">
      <c r="B251" s="113" t="s">
        <v>254</v>
      </c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42"/>
      <c r="Q251" s="42"/>
    </row>
    <row r="252" spans="15:17" ht="12.75">
      <c r="O252" s="42"/>
      <c r="P252" s="42"/>
      <c r="Q252" s="42"/>
    </row>
    <row r="253" spans="2:17" ht="15.75">
      <c r="B253" s="103" t="s">
        <v>383</v>
      </c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42"/>
      <c r="P253" s="42"/>
      <c r="Q253" s="42"/>
    </row>
    <row r="254" spans="3:17" ht="12.75">
      <c r="C254" s="96"/>
      <c r="D254" s="96"/>
      <c r="E254" s="96"/>
      <c r="F254" s="96"/>
      <c r="G254" s="97"/>
      <c r="H254" s="97"/>
      <c r="I254" s="97"/>
      <c r="O254" s="42"/>
      <c r="P254" s="42"/>
      <c r="Q254" s="42"/>
    </row>
    <row r="255" spans="2:23" ht="105">
      <c r="B255" s="4" t="s">
        <v>232</v>
      </c>
      <c r="C255" s="43" t="s">
        <v>264</v>
      </c>
      <c r="D255" s="43" t="s">
        <v>265</v>
      </c>
      <c r="E255" s="43" t="s">
        <v>210</v>
      </c>
      <c r="F255" s="43" t="s">
        <v>5</v>
      </c>
      <c r="G255" s="43" t="s">
        <v>95</v>
      </c>
      <c r="H255" s="6" t="s">
        <v>227</v>
      </c>
      <c r="I255" s="5" t="s">
        <v>97</v>
      </c>
      <c r="J255" s="6" t="s">
        <v>228</v>
      </c>
      <c r="K255" s="55" t="s">
        <v>267</v>
      </c>
      <c r="L255" s="55" t="s">
        <v>266</v>
      </c>
      <c r="M255" s="6" t="s">
        <v>268</v>
      </c>
      <c r="N255" s="43" t="s">
        <v>269</v>
      </c>
      <c r="O255" s="43" t="s">
        <v>271</v>
      </c>
      <c r="P255" s="43" t="s">
        <v>5</v>
      </c>
      <c r="Q255" s="6" t="s">
        <v>270</v>
      </c>
      <c r="R255" s="5" t="s">
        <v>272</v>
      </c>
      <c r="S255" s="6" t="s">
        <v>273</v>
      </c>
      <c r="T255" s="6" t="s">
        <v>274</v>
      </c>
      <c r="U255" s="6" t="s">
        <v>275</v>
      </c>
      <c r="V255" s="5" t="s">
        <v>276</v>
      </c>
      <c r="W255" s="15" t="s">
        <v>353</v>
      </c>
    </row>
    <row r="256" spans="2:23" ht="15">
      <c r="B256" s="4" t="s">
        <v>233</v>
      </c>
      <c r="C256" s="4">
        <v>120</v>
      </c>
      <c r="D256" s="11">
        <f>C256*23*2.8*1.2</f>
        <v>9273.599999999999</v>
      </c>
      <c r="E256" s="4">
        <v>0.85</v>
      </c>
      <c r="F256" s="4">
        <v>12</v>
      </c>
      <c r="G256" s="4">
        <v>34500</v>
      </c>
      <c r="H256" s="7">
        <f>((D256*F256*365)/G256)*((1/E256))*4.184</f>
        <v>5795.302701176471</v>
      </c>
      <c r="I256" s="13">
        <v>1</v>
      </c>
      <c r="J256" s="7">
        <f>H256*I256</f>
        <v>5795.302701176471</v>
      </c>
      <c r="K256" s="69">
        <v>0.15</v>
      </c>
      <c r="L256" s="69">
        <v>0.15</v>
      </c>
      <c r="M256" s="7">
        <f>K256*J256</f>
        <v>869.2954051764706</v>
      </c>
      <c r="N256" s="11">
        <f>(C256*12*180)/1000</f>
        <v>259.2</v>
      </c>
      <c r="O256" s="11">
        <f>N256/10</f>
        <v>25.919999999999998</v>
      </c>
      <c r="P256" s="4">
        <v>12</v>
      </c>
      <c r="Q256" s="7">
        <f>O256*P256*365</f>
        <v>113529.59999999999</v>
      </c>
      <c r="R256" s="13">
        <v>0.37</v>
      </c>
      <c r="S256" s="7">
        <f>Q256*R256</f>
        <v>42005.952</v>
      </c>
      <c r="T256" s="7">
        <f>S256*L256</f>
        <v>6300.8928</v>
      </c>
      <c r="U256" s="7">
        <f>T256+M256</f>
        <v>7170.188205176471</v>
      </c>
      <c r="V256" s="4">
        <f>C256*60</f>
        <v>7200</v>
      </c>
      <c r="W256" s="73">
        <f>(V256/U256)*(365/30)</f>
        <v>12.21725253135723</v>
      </c>
    </row>
    <row r="257" spans="2:17" ht="12.75">
      <c r="B257" s="89" t="s">
        <v>254</v>
      </c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42"/>
      <c r="Q257" s="42"/>
    </row>
    <row r="258" spans="15:17" ht="12.75">
      <c r="O258" s="42"/>
      <c r="P258" s="42"/>
      <c r="Q258" s="42"/>
    </row>
    <row r="259" spans="2:17" ht="15.75">
      <c r="B259" s="91" t="s">
        <v>384</v>
      </c>
      <c r="C259" s="92"/>
      <c r="D259" s="92"/>
      <c r="E259" s="92"/>
      <c r="F259" s="92"/>
      <c r="G259" s="92"/>
      <c r="H259" s="92"/>
      <c r="I259" s="92"/>
      <c r="J259" s="92"/>
      <c r="K259" s="92"/>
      <c r="L259" s="93"/>
      <c r="O259" s="42"/>
      <c r="P259" s="42"/>
      <c r="Q259" s="42"/>
    </row>
    <row r="260" spans="15:17" ht="12.75">
      <c r="O260" s="42"/>
      <c r="P260" s="42"/>
      <c r="Q260" s="42"/>
    </row>
    <row r="261" spans="2:18" ht="15.75">
      <c r="B261" s="103" t="s">
        <v>385</v>
      </c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7"/>
      <c r="P261" s="17"/>
      <c r="Q261" s="17"/>
      <c r="R261" s="17"/>
    </row>
    <row r="262" spans="3:18" ht="15">
      <c r="C262" s="96" t="s">
        <v>201</v>
      </c>
      <c r="D262" s="96"/>
      <c r="E262" s="96"/>
      <c r="F262" s="96"/>
      <c r="G262" s="97" t="s">
        <v>202</v>
      </c>
      <c r="H262" s="97"/>
      <c r="I262" s="97"/>
      <c r="O262" s="26"/>
      <c r="P262" s="19"/>
      <c r="Q262" s="18"/>
      <c r="R262" s="26"/>
    </row>
    <row r="263" spans="2:22" ht="95.25" customHeight="1">
      <c r="B263" s="4" t="s">
        <v>0</v>
      </c>
      <c r="C263" s="55" t="s">
        <v>192</v>
      </c>
      <c r="D263" s="55" t="s">
        <v>193</v>
      </c>
      <c r="E263" s="55" t="s">
        <v>194</v>
      </c>
      <c r="F263" s="55" t="s">
        <v>200</v>
      </c>
      <c r="G263" s="22" t="s">
        <v>195</v>
      </c>
      <c r="H263" s="22" t="s">
        <v>196</v>
      </c>
      <c r="I263" s="22" t="s">
        <v>197</v>
      </c>
      <c r="J263" s="5" t="s">
        <v>190</v>
      </c>
      <c r="K263" s="5" t="s">
        <v>67</v>
      </c>
      <c r="L263" s="6" t="s">
        <v>198</v>
      </c>
      <c r="M263" s="55" t="s">
        <v>205</v>
      </c>
      <c r="N263" s="55" t="s">
        <v>203</v>
      </c>
      <c r="O263" s="55" t="s">
        <v>199</v>
      </c>
      <c r="P263" s="15" t="s">
        <v>206</v>
      </c>
      <c r="Q263" s="22" t="s">
        <v>204</v>
      </c>
      <c r="R263" s="22" t="s">
        <v>203</v>
      </c>
      <c r="S263" s="22" t="s">
        <v>207</v>
      </c>
      <c r="T263" s="48" t="s">
        <v>208</v>
      </c>
      <c r="U263" s="55" t="s">
        <v>209</v>
      </c>
      <c r="V263" s="15" t="s">
        <v>353</v>
      </c>
    </row>
    <row r="264" spans="2:22" ht="15">
      <c r="B264" s="4" t="s">
        <v>191</v>
      </c>
      <c r="C264" s="4">
        <v>75</v>
      </c>
      <c r="D264" s="4">
        <v>1000</v>
      </c>
      <c r="E264" s="4">
        <v>0.5</v>
      </c>
      <c r="F264" s="4">
        <v>100</v>
      </c>
      <c r="G264" s="4">
        <v>12</v>
      </c>
      <c r="H264" s="4">
        <v>10000</v>
      </c>
      <c r="I264" s="4">
        <v>5</v>
      </c>
      <c r="J264" s="13">
        <v>0.37</v>
      </c>
      <c r="K264" s="4">
        <v>14</v>
      </c>
      <c r="L264" s="7">
        <f>(H264/D264)*F264</f>
        <v>1000</v>
      </c>
      <c r="M264" s="56">
        <f>L264*E264</f>
        <v>500</v>
      </c>
      <c r="N264" s="56">
        <f>(C264*L264*J264*365*K264)/1000</f>
        <v>141802.5</v>
      </c>
      <c r="O264" s="56">
        <f>M264+N264</f>
        <v>142302.5</v>
      </c>
      <c r="P264" s="58">
        <f>(F264/(H264/D264))</f>
        <v>10</v>
      </c>
      <c r="Q264" s="57">
        <f>P264*I264</f>
        <v>50</v>
      </c>
      <c r="R264" s="57">
        <f>(P264*C264*J264*K264*L264)/1000</f>
        <v>3885</v>
      </c>
      <c r="S264" s="57">
        <f>Q264+R264</f>
        <v>3935</v>
      </c>
      <c r="T264" s="60">
        <f>Q264/N264</f>
        <v>0.0003526030923291197</v>
      </c>
      <c r="U264" s="59">
        <f>N264-R264</f>
        <v>137917.5</v>
      </c>
      <c r="V264" s="71">
        <f>(Q264/U264)*(365/30)</f>
        <v>0.004410849481272016</v>
      </c>
    </row>
    <row r="265" spans="15:17" ht="12.75">
      <c r="O265" s="42"/>
      <c r="P265" s="42"/>
      <c r="Q265" s="42"/>
    </row>
    <row r="266" spans="2:11" ht="12.75">
      <c r="B266" s="89" t="s">
        <v>184</v>
      </c>
      <c r="C266" s="89"/>
      <c r="D266" s="89"/>
      <c r="E266" s="89"/>
      <c r="F266" s="89"/>
      <c r="G266" s="89"/>
      <c r="H266" s="89"/>
      <c r="I266" s="89"/>
      <c r="J266" s="89"/>
      <c r="K266" s="89"/>
    </row>
    <row r="267" spans="2:11" ht="12.75">
      <c r="B267" s="89" t="s">
        <v>185</v>
      </c>
      <c r="C267" s="89"/>
      <c r="D267" s="89"/>
      <c r="E267" s="89"/>
      <c r="F267" s="89"/>
      <c r="G267" s="89"/>
      <c r="H267" s="89"/>
      <c r="I267" s="89"/>
      <c r="J267" s="89"/>
      <c r="K267" s="89"/>
    </row>
    <row r="268" spans="2:17" ht="15">
      <c r="B268" s="89" t="s">
        <v>186</v>
      </c>
      <c r="C268" s="89"/>
      <c r="D268" s="89"/>
      <c r="E268" s="89"/>
      <c r="F268" s="89"/>
      <c r="G268" s="89"/>
      <c r="H268" s="89"/>
      <c r="I268" s="89"/>
      <c r="J268" s="89"/>
      <c r="K268" s="89"/>
      <c r="N268" s="17"/>
      <c r="O268" s="17"/>
      <c r="P268" s="17"/>
      <c r="Q268" s="17"/>
    </row>
    <row r="269" spans="2:17" ht="15">
      <c r="B269" s="89" t="s">
        <v>187</v>
      </c>
      <c r="C269" s="89"/>
      <c r="D269" s="89"/>
      <c r="E269" s="89"/>
      <c r="F269" s="89"/>
      <c r="G269" s="89"/>
      <c r="H269" s="89"/>
      <c r="I269" s="89"/>
      <c r="J269" s="89"/>
      <c r="K269" s="89"/>
      <c r="N269" s="61"/>
      <c r="O269" s="19"/>
      <c r="P269" s="19"/>
      <c r="Q269" s="26"/>
    </row>
    <row r="270" spans="2:11" ht="12.75">
      <c r="B270" s="25" t="s">
        <v>188</v>
      </c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2:11" ht="12.75">
      <c r="B271" s="25" t="s">
        <v>189</v>
      </c>
      <c r="C271" s="25"/>
      <c r="D271" s="25"/>
      <c r="E271" s="25"/>
      <c r="F271" s="25"/>
      <c r="G271" s="25"/>
      <c r="H271" s="25"/>
      <c r="I271" s="25"/>
      <c r="J271" s="25"/>
      <c r="K271" s="25"/>
    </row>
    <row r="273" spans="2:12" ht="15.75">
      <c r="B273" s="87" t="s">
        <v>386</v>
      </c>
      <c r="C273" s="88"/>
      <c r="D273" s="88"/>
      <c r="E273" s="88"/>
      <c r="F273" s="88"/>
      <c r="G273" s="88"/>
      <c r="H273" s="88"/>
      <c r="I273" s="88"/>
      <c r="J273" s="88"/>
      <c r="K273" s="88"/>
      <c r="L273" s="89"/>
    </row>
    <row r="275" spans="2:14" ht="90">
      <c r="B275" s="4" t="s">
        <v>0</v>
      </c>
      <c r="C275" s="5" t="s">
        <v>344</v>
      </c>
      <c r="D275" s="55" t="s">
        <v>342</v>
      </c>
      <c r="E275" s="55" t="s">
        <v>343</v>
      </c>
      <c r="F275" s="55" t="s">
        <v>345</v>
      </c>
      <c r="G275" s="55" t="s">
        <v>346</v>
      </c>
      <c r="H275" s="55" t="s">
        <v>347</v>
      </c>
      <c r="I275" s="5" t="s">
        <v>190</v>
      </c>
      <c r="J275" s="5" t="s">
        <v>67</v>
      </c>
      <c r="K275" s="55" t="s">
        <v>348</v>
      </c>
      <c r="L275" s="15" t="s">
        <v>353</v>
      </c>
      <c r="M275" s="17"/>
      <c r="N275" s="17"/>
    </row>
    <row r="276" spans="2:14" ht="15">
      <c r="B276" s="4" t="s">
        <v>191</v>
      </c>
      <c r="C276" s="4">
        <v>500</v>
      </c>
      <c r="D276" s="59">
        <f>C276/25</f>
        <v>20</v>
      </c>
      <c r="E276" s="59">
        <v>450</v>
      </c>
      <c r="F276" s="56">
        <f>D276*E276*1.81</f>
        <v>16290</v>
      </c>
      <c r="G276" s="59">
        <f>C276/12</f>
        <v>41.666666666666664</v>
      </c>
      <c r="H276" s="4">
        <v>75</v>
      </c>
      <c r="I276" s="13">
        <v>0.37</v>
      </c>
      <c r="J276" s="4">
        <v>14</v>
      </c>
      <c r="K276" s="59">
        <f>(G276*H276*I276*J276*365)/1000</f>
        <v>5908.4375</v>
      </c>
      <c r="L276" s="73">
        <f>(F276/K276)*(365/30)</f>
        <v>33.544401544401545</v>
      </c>
      <c r="M276" s="18"/>
      <c r="N276" s="18"/>
    </row>
    <row r="278" spans="2:12" ht="15.75">
      <c r="B278" s="134" t="s">
        <v>352</v>
      </c>
      <c r="C278" s="135"/>
      <c r="D278" s="135"/>
      <c r="E278" s="135"/>
      <c r="F278" s="135"/>
      <c r="G278" s="135"/>
      <c r="H278" s="135"/>
      <c r="I278" s="135"/>
      <c r="J278" s="135"/>
      <c r="K278" s="135"/>
      <c r="L278" s="136"/>
    </row>
    <row r="279" spans="2:12" ht="15.75">
      <c r="B279" s="134" t="s">
        <v>349</v>
      </c>
      <c r="C279" s="135"/>
      <c r="D279" s="135"/>
      <c r="E279" s="135"/>
      <c r="F279" s="135"/>
      <c r="G279" s="135"/>
      <c r="H279" s="135"/>
      <c r="I279" s="135"/>
      <c r="J279" s="135"/>
      <c r="K279" s="135"/>
      <c r="L279" s="136"/>
    </row>
    <row r="282" spans="2:14" ht="15.75">
      <c r="B282" s="87" t="s">
        <v>387</v>
      </c>
      <c r="C282" s="88"/>
      <c r="D282" s="88"/>
      <c r="E282" s="88"/>
      <c r="F282" s="88"/>
      <c r="G282" s="88"/>
      <c r="H282" s="88"/>
      <c r="I282" s="88"/>
      <c r="J282" s="88"/>
      <c r="K282" s="88"/>
      <c r="L282" s="40"/>
      <c r="M282" s="40"/>
      <c r="N282" s="40"/>
    </row>
    <row r="283" spans="3:9" ht="12.75">
      <c r="C283" s="86"/>
      <c r="D283" s="86"/>
      <c r="E283" s="86"/>
      <c r="F283" s="86"/>
      <c r="G283" s="86"/>
      <c r="H283" s="86"/>
      <c r="I283" s="86"/>
    </row>
    <row r="284" spans="2:14" ht="75">
      <c r="B284" s="4" t="s">
        <v>0</v>
      </c>
      <c r="C284" s="55" t="s">
        <v>237</v>
      </c>
      <c r="D284" s="55" t="s">
        <v>200</v>
      </c>
      <c r="E284" s="5" t="s">
        <v>190</v>
      </c>
      <c r="F284" s="5" t="s">
        <v>67</v>
      </c>
      <c r="G284" s="22" t="s">
        <v>238</v>
      </c>
      <c r="H284" s="55" t="s">
        <v>239</v>
      </c>
      <c r="I284" s="22" t="s">
        <v>240</v>
      </c>
      <c r="J284" s="5" t="s">
        <v>241</v>
      </c>
      <c r="K284" s="15" t="s">
        <v>353</v>
      </c>
      <c r="L284" s="17"/>
      <c r="M284" s="17"/>
      <c r="N284" s="17"/>
    </row>
    <row r="285" spans="2:14" ht="15">
      <c r="B285" s="4" t="s">
        <v>436</v>
      </c>
      <c r="C285" s="4">
        <v>40</v>
      </c>
      <c r="D285" s="4">
        <v>100</v>
      </c>
      <c r="E285" s="13">
        <v>0.37</v>
      </c>
      <c r="F285" s="4">
        <v>14</v>
      </c>
      <c r="G285" s="11">
        <f>(C285*D285*E285*365*F285)/1000</f>
        <v>7562.8</v>
      </c>
      <c r="H285" s="56">
        <v>0.4</v>
      </c>
      <c r="I285" s="11">
        <f>G285*H285</f>
        <v>3025.1200000000003</v>
      </c>
      <c r="J285" s="4">
        <f>5*D285</f>
        <v>500</v>
      </c>
      <c r="K285" s="73">
        <f>(J285/I285)*(365/30)</f>
        <v>2.0109395109395107</v>
      </c>
      <c r="L285" s="19"/>
      <c r="M285" s="18"/>
      <c r="N285" s="18"/>
    </row>
    <row r="287" spans="2:12" ht="15.75">
      <c r="B287" s="87" t="s">
        <v>388</v>
      </c>
      <c r="C287" s="88"/>
      <c r="D287" s="88"/>
      <c r="E287" s="88"/>
      <c r="F287" s="88"/>
      <c r="G287" s="88"/>
      <c r="H287" s="88"/>
      <c r="I287" s="88"/>
      <c r="J287" s="88"/>
      <c r="K287" s="88"/>
      <c r="L287" s="89"/>
    </row>
    <row r="288" spans="3:9" ht="12.75">
      <c r="C288" s="86"/>
      <c r="D288" s="86"/>
      <c r="E288" s="86"/>
      <c r="F288" s="86"/>
      <c r="G288" s="86"/>
      <c r="H288" s="86"/>
      <c r="I288" s="86"/>
    </row>
    <row r="289" spans="2:12" ht="105">
      <c r="B289" s="4" t="s">
        <v>0</v>
      </c>
      <c r="C289" s="55" t="s">
        <v>324</v>
      </c>
      <c r="D289" s="5" t="s">
        <v>67</v>
      </c>
      <c r="E289" s="6" t="s">
        <v>325</v>
      </c>
      <c r="F289" s="22" t="s">
        <v>326</v>
      </c>
      <c r="G289" s="22" t="s">
        <v>327</v>
      </c>
      <c r="H289" s="22" t="s">
        <v>328</v>
      </c>
      <c r="I289" s="53" t="s">
        <v>321</v>
      </c>
      <c r="J289" s="15" t="s">
        <v>353</v>
      </c>
      <c r="K289" s="17"/>
      <c r="L289" s="17"/>
    </row>
    <row r="290" spans="2:12" ht="15">
      <c r="B290" s="4" t="s">
        <v>323</v>
      </c>
      <c r="C290" s="4">
        <v>80</v>
      </c>
      <c r="D290" s="4">
        <v>10</v>
      </c>
      <c r="E290" s="7">
        <f>C290*D290*365*0.1</f>
        <v>29200</v>
      </c>
      <c r="F290" s="23">
        <f>1700*C290+300000</f>
        <v>436000</v>
      </c>
      <c r="G290" s="23">
        <f>E290*0.055</f>
        <v>1606</v>
      </c>
      <c r="H290" s="23">
        <f>E290*0.002</f>
        <v>58.4</v>
      </c>
      <c r="I290" s="54">
        <f>G290-H290</f>
        <v>1547.6</v>
      </c>
      <c r="J290" s="73">
        <f>(F290/I290)*(365/30)</f>
        <v>3427.672955974843</v>
      </c>
      <c r="K290" s="26"/>
      <c r="L290" s="26"/>
    </row>
    <row r="292" spans="2:11" ht="15.75">
      <c r="B292" s="74"/>
      <c r="C292" s="75"/>
      <c r="D292" s="75"/>
      <c r="E292" s="75"/>
      <c r="F292" s="75"/>
      <c r="G292" s="75"/>
      <c r="H292" s="75"/>
      <c r="I292" s="75"/>
      <c r="J292" s="75"/>
      <c r="K292" s="75"/>
    </row>
    <row r="293" spans="2:12" ht="15.75">
      <c r="B293" s="91" t="s">
        <v>389</v>
      </c>
      <c r="C293" s="92"/>
      <c r="D293" s="92"/>
      <c r="E293" s="92"/>
      <c r="F293" s="92"/>
      <c r="G293" s="92"/>
      <c r="H293" s="92"/>
      <c r="I293" s="92"/>
      <c r="J293" s="92"/>
      <c r="K293" s="92"/>
      <c r="L293" s="93"/>
    </row>
    <row r="295" spans="2:12" ht="15.75">
      <c r="B295" s="87" t="s">
        <v>390</v>
      </c>
      <c r="C295" s="88"/>
      <c r="D295" s="88"/>
      <c r="E295" s="88"/>
      <c r="F295" s="88"/>
      <c r="G295" s="88"/>
      <c r="H295" s="88"/>
      <c r="I295" s="88"/>
      <c r="J295" s="88"/>
      <c r="K295" s="88"/>
      <c r="L295" s="89"/>
    </row>
    <row r="296" spans="3:9" ht="12.75">
      <c r="C296" s="86"/>
      <c r="D296" s="86"/>
      <c r="E296" s="86"/>
      <c r="F296" s="86"/>
      <c r="G296" s="86"/>
      <c r="H296" s="86"/>
      <c r="I296" s="86"/>
    </row>
    <row r="297" spans="2:12" ht="105">
      <c r="B297" s="4" t="s">
        <v>0</v>
      </c>
      <c r="C297" s="55" t="s">
        <v>286</v>
      </c>
      <c r="D297" s="55" t="s">
        <v>287</v>
      </c>
      <c r="E297" s="6" t="s">
        <v>288</v>
      </c>
      <c r="F297" s="5" t="s">
        <v>67</v>
      </c>
      <c r="G297" s="6" t="s">
        <v>290</v>
      </c>
      <c r="H297" s="22" t="s">
        <v>291</v>
      </c>
      <c r="I297" s="22" t="s">
        <v>293</v>
      </c>
      <c r="J297" s="22" t="s">
        <v>294</v>
      </c>
      <c r="K297" s="53" t="s">
        <v>292</v>
      </c>
      <c r="L297" s="15" t="s">
        <v>353</v>
      </c>
    </row>
    <row r="298" spans="2:12" ht="15">
      <c r="B298" s="4" t="s">
        <v>285</v>
      </c>
      <c r="C298" s="4">
        <v>10</v>
      </c>
      <c r="D298" s="4">
        <v>15</v>
      </c>
      <c r="E298" s="7">
        <f>C298*D298*0.8*9.81</f>
        <v>1177.2</v>
      </c>
      <c r="F298" s="4">
        <v>24</v>
      </c>
      <c r="G298" s="7">
        <f>E298*F298*365*0.8</f>
        <v>8249817.6000000015</v>
      </c>
      <c r="H298" s="23">
        <f>1250*E298</f>
        <v>1471500</v>
      </c>
      <c r="I298" s="23">
        <f>G298*0.055</f>
        <v>453739.9680000001</v>
      </c>
      <c r="J298" s="23">
        <f>G298*0.01</f>
        <v>82498.17600000002</v>
      </c>
      <c r="K298" s="54">
        <f>I298-J298</f>
        <v>371241.7920000001</v>
      </c>
      <c r="L298" s="73">
        <f>(H298/K298)*(365/30)</f>
        <v>48.225308641975296</v>
      </c>
    </row>
    <row r="300" spans="2:12" ht="15.75">
      <c r="B300" s="100" t="s">
        <v>289</v>
      </c>
      <c r="C300" s="101"/>
      <c r="D300" s="101"/>
      <c r="E300" s="101"/>
      <c r="F300" s="101"/>
      <c r="G300" s="101"/>
      <c r="H300" s="101"/>
      <c r="I300" s="101"/>
      <c r="J300" s="101"/>
      <c r="K300" s="101"/>
      <c r="L300" s="102"/>
    </row>
    <row r="303" spans="2:12" ht="15.75">
      <c r="B303" s="87" t="s">
        <v>391</v>
      </c>
      <c r="C303" s="88"/>
      <c r="D303" s="88"/>
      <c r="E303" s="88"/>
      <c r="F303" s="88"/>
      <c r="G303" s="88"/>
      <c r="H303" s="88"/>
      <c r="I303" s="88"/>
      <c r="J303" s="88"/>
      <c r="K303" s="88"/>
      <c r="L303" s="89"/>
    </row>
    <row r="304" spans="3:9" ht="12.75">
      <c r="C304" s="86"/>
      <c r="D304" s="86"/>
      <c r="E304" s="86"/>
      <c r="F304" s="86"/>
      <c r="G304" s="86"/>
      <c r="H304" s="86"/>
      <c r="I304" s="86"/>
    </row>
    <row r="305" spans="2:12" ht="120">
      <c r="B305" s="4" t="s">
        <v>0</v>
      </c>
      <c r="C305" s="55" t="s">
        <v>297</v>
      </c>
      <c r="D305" s="55" t="s">
        <v>302</v>
      </c>
      <c r="E305" s="6" t="s">
        <v>298</v>
      </c>
      <c r="F305" s="5" t="s">
        <v>67</v>
      </c>
      <c r="G305" s="6" t="s">
        <v>299</v>
      </c>
      <c r="H305" s="22" t="s">
        <v>300</v>
      </c>
      <c r="I305" s="22" t="s">
        <v>329</v>
      </c>
      <c r="J305" s="22" t="s">
        <v>312</v>
      </c>
      <c r="K305" s="53" t="s">
        <v>301</v>
      </c>
      <c r="L305" s="15" t="s">
        <v>353</v>
      </c>
    </row>
    <row r="306" spans="2:12" ht="15">
      <c r="B306" s="4" t="s">
        <v>295</v>
      </c>
      <c r="C306" s="4">
        <v>10</v>
      </c>
      <c r="D306" s="4">
        <v>115</v>
      </c>
      <c r="E306" s="7">
        <f>C306*(D306-85)*4.18*0.85</f>
        <v>1065.8999999999999</v>
      </c>
      <c r="F306" s="4">
        <v>24</v>
      </c>
      <c r="G306" s="7">
        <f>E306*F306*365*0.8</f>
        <v>7469827.2</v>
      </c>
      <c r="H306" s="23">
        <f>1900*E306</f>
        <v>2025209.9999999998</v>
      </c>
      <c r="I306" s="23">
        <f>G306*0.105</f>
        <v>784331.856</v>
      </c>
      <c r="J306" s="23">
        <f>G306*0.01</f>
        <v>74698.272</v>
      </c>
      <c r="K306" s="54">
        <f>I306-J306</f>
        <v>709633.584</v>
      </c>
      <c r="L306" s="73">
        <f>(H306/K306)*(365/30)</f>
        <v>34.722222222222214</v>
      </c>
    </row>
    <row r="308" spans="2:12" ht="15.75">
      <c r="B308" s="94" t="s">
        <v>296</v>
      </c>
      <c r="C308" s="95"/>
      <c r="D308" s="95"/>
      <c r="E308" s="95"/>
      <c r="F308" s="95"/>
      <c r="G308" s="95"/>
      <c r="H308" s="95"/>
      <c r="I308" s="95"/>
      <c r="J308" s="95"/>
      <c r="K308" s="95"/>
      <c r="L308" s="89"/>
    </row>
    <row r="310" spans="2:12" ht="15.75">
      <c r="B310" s="87" t="s">
        <v>392</v>
      </c>
      <c r="C310" s="88"/>
      <c r="D310" s="88"/>
      <c r="E310" s="88"/>
      <c r="F310" s="88"/>
      <c r="G310" s="88"/>
      <c r="H310" s="88"/>
      <c r="I310" s="88"/>
      <c r="J310" s="88"/>
      <c r="K310" s="88"/>
      <c r="L310" s="89"/>
    </row>
    <row r="311" spans="3:9" ht="12.75">
      <c r="C311" s="86"/>
      <c r="D311" s="86"/>
      <c r="E311" s="86"/>
      <c r="F311" s="86"/>
      <c r="G311" s="86"/>
      <c r="H311" s="86"/>
      <c r="I311" s="86"/>
    </row>
    <row r="312" spans="2:12" ht="105">
      <c r="B312" s="4" t="s">
        <v>0</v>
      </c>
      <c r="C312" s="55" t="s">
        <v>305</v>
      </c>
      <c r="D312" s="55" t="s">
        <v>304</v>
      </c>
      <c r="E312" s="6" t="s">
        <v>306</v>
      </c>
      <c r="F312" s="5" t="s">
        <v>67</v>
      </c>
      <c r="G312" s="6" t="s">
        <v>307</v>
      </c>
      <c r="H312" s="22" t="s">
        <v>308</v>
      </c>
      <c r="I312" s="22" t="s">
        <v>309</v>
      </c>
      <c r="J312" s="22" t="s">
        <v>310</v>
      </c>
      <c r="K312" s="53" t="s">
        <v>311</v>
      </c>
      <c r="L312" s="15" t="s">
        <v>353</v>
      </c>
    </row>
    <row r="313" spans="2:12" ht="15">
      <c r="B313" s="4" t="s">
        <v>303</v>
      </c>
      <c r="C313" s="4">
        <v>15</v>
      </c>
      <c r="D313" s="4">
        <v>25</v>
      </c>
      <c r="E313" s="7">
        <f>(3.14*(D313/2)*(D313/2)*0.62*C313*C313*C313)/1000</f>
        <v>1026.6328125</v>
      </c>
      <c r="F313" s="4">
        <v>24</v>
      </c>
      <c r="G313" s="7">
        <f>E313*F313*365*0.35</f>
        <v>3147656.203125</v>
      </c>
      <c r="H313" s="23">
        <f>1350*E313</f>
        <v>1385954.296875</v>
      </c>
      <c r="I313" s="23">
        <f>G313*0.055</f>
        <v>173121.091171875</v>
      </c>
      <c r="J313" s="23">
        <f>G313*0.01</f>
        <v>31476.56203125</v>
      </c>
      <c r="K313" s="54">
        <f>I313-J313</f>
        <v>141644.529140625</v>
      </c>
      <c r="L313" s="73">
        <f>(H313/K313)*(365/30)</f>
        <v>119.04761904761904</v>
      </c>
    </row>
    <row r="315" spans="2:12" ht="13.5">
      <c r="B315" s="98" t="s">
        <v>314</v>
      </c>
      <c r="C315" s="99"/>
      <c r="D315" s="99"/>
      <c r="E315" s="99"/>
      <c r="F315" s="99"/>
      <c r="G315" s="99"/>
      <c r="H315" s="99"/>
      <c r="I315" s="99"/>
      <c r="J315" s="99"/>
      <c r="K315" s="99"/>
      <c r="L315" s="90"/>
    </row>
    <row r="316" spans="2:12" ht="13.5">
      <c r="B316" s="98" t="s">
        <v>313</v>
      </c>
      <c r="C316" s="99"/>
      <c r="D316" s="99"/>
      <c r="E316" s="99"/>
      <c r="F316" s="99"/>
      <c r="G316" s="99"/>
      <c r="H316" s="99"/>
      <c r="I316" s="99"/>
      <c r="J316" s="99"/>
      <c r="K316" s="99"/>
      <c r="L316" s="90"/>
    </row>
    <row r="318" spans="2:11" ht="15.75">
      <c r="B318" s="91" t="s">
        <v>284</v>
      </c>
      <c r="C318" s="92"/>
      <c r="D318" s="92"/>
      <c r="E318" s="92"/>
      <c r="F318" s="92"/>
      <c r="G318" s="92"/>
      <c r="H318" s="92"/>
      <c r="I318" s="92"/>
      <c r="J318" s="92"/>
      <c r="K318" s="92"/>
    </row>
    <row r="320" spans="9:10" ht="12.75">
      <c r="I320" s="42"/>
      <c r="J320" s="42"/>
    </row>
    <row r="321" spans="2:12" ht="15.75">
      <c r="B321" s="91" t="s">
        <v>393</v>
      </c>
      <c r="C321" s="92"/>
      <c r="D321" s="92"/>
      <c r="E321" s="92"/>
      <c r="F321" s="92"/>
      <c r="G321" s="92"/>
      <c r="H321" s="92"/>
      <c r="I321" s="92"/>
      <c r="J321" s="92"/>
      <c r="K321" s="92"/>
      <c r="L321" s="93"/>
    </row>
    <row r="323" spans="2:12" ht="15.75">
      <c r="B323" s="87" t="s">
        <v>406</v>
      </c>
      <c r="C323" s="88"/>
      <c r="D323" s="88"/>
      <c r="E323" s="88"/>
      <c r="F323" s="88"/>
      <c r="G323" s="88"/>
      <c r="H323" s="88"/>
      <c r="I323" s="88"/>
      <c r="J323" s="88"/>
      <c r="K323" s="88"/>
      <c r="L323" s="89"/>
    </row>
    <row r="324" spans="3:9" ht="12.75">
      <c r="C324" s="86"/>
      <c r="D324" s="86"/>
      <c r="E324" s="86"/>
      <c r="F324" s="86"/>
      <c r="G324" s="86"/>
      <c r="H324" s="86"/>
      <c r="I324" s="86"/>
    </row>
    <row r="325" spans="2:12" ht="120">
      <c r="B325" s="4" t="s">
        <v>394</v>
      </c>
      <c r="C325" s="5" t="s">
        <v>396</v>
      </c>
      <c r="D325" s="55" t="s">
        <v>397</v>
      </c>
      <c r="E325" s="5" t="s">
        <v>398</v>
      </c>
      <c r="F325" s="55" t="s">
        <v>399</v>
      </c>
      <c r="G325" s="22" t="s">
        <v>400</v>
      </c>
      <c r="H325" s="22" t="s">
        <v>401</v>
      </c>
      <c r="I325" s="22" t="s">
        <v>402</v>
      </c>
      <c r="J325" s="5" t="s">
        <v>241</v>
      </c>
      <c r="K325" s="22" t="s">
        <v>403</v>
      </c>
      <c r="L325" s="15" t="s">
        <v>353</v>
      </c>
    </row>
    <row r="326" spans="2:12" ht="15">
      <c r="B326" s="4" t="s">
        <v>395</v>
      </c>
      <c r="C326" s="4">
        <v>10</v>
      </c>
      <c r="D326" s="56">
        <f>15*C326*12</f>
        <v>1800</v>
      </c>
      <c r="E326" s="4">
        <v>3.56</v>
      </c>
      <c r="F326" s="56">
        <f>D326*E326</f>
        <v>6408</v>
      </c>
      <c r="G326" s="23">
        <f>F326*0.17*0.13</f>
        <v>141.6168</v>
      </c>
      <c r="H326" s="23">
        <f>F326*0.26*0.38</f>
        <v>633.1104</v>
      </c>
      <c r="I326" s="23">
        <f>F326*0.16*0.13</f>
        <v>133.28640000000001</v>
      </c>
      <c r="J326" s="4">
        <f>300*C326</f>
        <v>3000</v>
      </c>
      <c r="K326" s="23">
        <f>I326+G326+H326</f>
        <v>908.0136</v>
      </c>
      <c r="L326" s="73">
        <f>(J326/K326)*(365/30)</f>
        <v>40.19763580633594</v>
      </c>
    </row>
    <row r="328" spans="2:12" ht="12.75">
      <c r="B328" s="90" t="s">
        <v>405</v>
      </c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 ht="12.75">
      <c r="B329" s="90" t="s">
        <v>404</v>
      </c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1" spans="2:12" ht="15.75">
      <c r="B331" s="87" t="s">
        <v>414</v>
      </c>
      <c r="C331" s="88"/>
      <c r="D331" s="88"/>
      <c r="E331" s="88"/>
      <c r="F331" s="88"/>
      <c r="G331" s="88"/>
      <c r="H331" s="88"/>
      <c r="I331" s="88"/>
      <c r="J331" s="88"/>
      <c r="K331" s="88"/>
      <c r="L331" s="89"/>
    </row>
    <row r="332" spans="3:12" ht="12.75">
      <c r="C332" s="86"/>
      <c r="D332" s="86"/>
      <c r="E332" s="86"/>
      <c r="F332" s="86"/>
      <c r="G332" s="86"/>
      <c r="H332" s="86"/>
      <c r="I332" s="86"/>
      <c r="K332" s="83"/>
      <c r="L332" s="80"/>
    </row>
    <row r="333" spans="2:12" ht="120">
      <c r="B333" s="5" t="s">
        <v>407</v>
      </c>
      <c r="C333" s="5" t="s">
        <v>396</v>
      </c>
      <c r="D333" s="55" t="s">
        <v>397</v>
      </c>
      <c r="E333" s="5" t="s">
        <v>398</v>
      </c>
      <c r="F333" s="55" t="s">
        <v>399</v>
      </c>
      <c r="G333" s="22" t="s">
        <v>408</v>
      </c>
      <c r="H333" s="22" t="s">
        <v>409</v>
      </c>
      <c r="I333" s="5" t="s">
        <v>413</v>
      </c>
      <c r="J333" s="81" t="s">
        <v>410</v>
      </c>
      <c r="K333" s="15" t="s">
        <v>353</v>
      </c>
      <c r="L333" s="17"/>
    </row>
    <row r="334" spans="2:12" ht="15">
      <c r="B334" s="4" t="s">
        <v>395</v>
      </c>
      <c r="C334" s="4">
        <v>10</v>
      </c>
      <c r="D334" s="56">
        <f>25*C334*12</f>
        <v>3000</v>
      </c>
      <c r="E334" s="4">
        <v>3.56</v>
      </c>
      <c r="F334" s="56">
        <f>D334*E334</f>
        <v>10680</v>
      </c>
      <c r="G334" s="23">
        <f>F334*0.26</f>
        <v>2776.8</v>
      </c>
      <c r="H334" s="23">
        <f>F334*0.4</f>
        <v>4272</v>
      </c>
      <c r="I334" s="4">
        <f>2000*C334</f>
        <v>20000</v>
      </c>
      <c r="J334" s="82">
        <f>H334+G334</f>
        <v>7048.8</v>
      </c>
      <c r="K334" s="73">
        <f>(I334/J334)*(365/30)</f>
        <v>34.521242386410925</v>
      </c>
      <c r="L334" s="19"/>
    </row>
    <row r="335" ht="12.75">
      <c r="L335" s="80"/>
    </row>
    <row r="336" spans="2:12" ht="12.75">
      <c r="B336" s="90" t="s">
        <v>411</v>
      </c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 ht="12.75">
      <c r="B337" s="90" t="s">
        <v>412</v>
      </c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9" spans="2:13" ht="15.75">
      <c r="B339" s="87" t="s">
        <v>415</v>
      </c>
      <c r="C339" s="88"/>
      <c r="D339" s="88"/>
      <c r="E339" s="88"/>
      <c r="F339" s="88"/>
      <c r="G339" s="88"/>
      <c r="H339" s="88"/>
      <c r="I339" s="88"/>
      <c r="J339" s="88"/>
      <c r="K339" s="88"/>
      <c r="L339" s="89"/>
      <c r="M339" s="89"/>
    </row>
    <row r="340" spans="3:9" ht="12.75">
      <c r="C340" s="86"/>
      <c r="D340" s="86"/>
      <c r="E340" s="86"/>
      <c r="F340" s="86"/>
      <c r="G340" s="86"/>
      <c r="H340" s="86"/>
      <c r="I340" s="86"/>
    </row>
    <row r="341" spans="2:17" ht="120">
      <c r="B341" s="4" t="s">
        <v>416</v>
      </c>
      <c r="C341" s="5" t="s">
        <v>417</v>
      </c>
      <c r="D341" s="55" t="s">
        <v>424</v>
      </c>
      <c r="E341" s="5" t="s">
        <v>398</v>
      </c>
      <c r="F341" s="55" t="s">
        <v>425</v>
      </c>
      <c r="G341" s="22" t="s">
        <v>400</v>
      </c>
      <c r="H341" s="22" t="s">
        <v>418</v>
      </c>
      <c r="I341" s="22" t="s">
        <v>419</v>
      </c>
      <c r="J341" s="22" t="s">
        <v>420</v>
      </c>
      <c r="K341" s="84" t="s">
        <v>421</v>
      </c>
      <c r="L341" s="5" t="s">
        <v>241</v>
      </c>
      <c r="M341" s="15" t="s">
        <v>353</v>
      </c>
      <c r="O341" s="17"/>
      <c r="P341" s="17"/>
      <c r="Q341" s="17"/>
    </row>
    <row r="342" spans="2:17" ht="15">
      <c r="B342" s="4" t="s">
        <v>395</v>
      </c>
      <c r="C342" s="4">
        <v>10</v>
      </c>
      <c r="D342" s="56">
        <f>11.2*C342*12</f>
        <v>1344</v>
      </c>
      <c r="E342" s="4">
        <v>7.52</v>
      </c>
      <c r="F342" s="59">
        <f>D342*E342</f>
        <v>10106.88</v>
      </c>
      <c r="G342" s="23">
        <f>F342*0.17*0.13</f>
        <v>223.362048</v>
      </c>
      <c r="H342" s="23">
        <f>F342*0.16*0.13</f>
        <v>210.223104</v>
      </c>
      <c r="I342" s="23">
        <f>F342*0.26</f>
        <v>2627.7888</v>
      </c>
      <c r="J342" s="23">
        <f>F342*0.35</f>
        <v>3537.4079999999994</v>
      </c>
      <c r="K342" s="85">
        <f>G342+H342+I342+J342</f>
        <v>6598.781951999999</v>
      </c>
      <c r="L342" s="4">
        <f>2500*E342</f>
        <v>18800</v>
      </c>
      <c r="M342" s="73">
        <f>(L342/K342)*(365/30)</f>
        <v>34.662962800885914</v>
      </c>
      <c r="O342" s="18"/>
      <c r="P342" s="19"/>
      <c r="Q342" s="19"/>
    </row>
    <row r="344" spans="2:13" ht="12.75">
      <c r="B344" s="90" t="s">
        <v>423</v>
      </c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89"/>
    </row>
    <row r="345" spans="2:13" ht="12.75">
      <c r="B345" s="90" t="s">
        <v>422</v>
      </c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89"/>
    </row>
  </sheetData>
  <sheetProtection/>
  <mergeCells count="168">
    <mergeCell ref="B329:L329"/>
    <mergeCell ref="G283:I283"/>
    <mergeCell ref="B321:L321"/>
    <mergeCell ref="B323:L323"/>
    <mergeCell ref="C324:F324"/>
    <mergeCell ref="G324:I324"/>
    <mergeCell ref="B328:L328"/>
    <mergeCell ref="C288:F288"/>
    <mergeCell ref="G288:I288"/>
    <mergeCell ref="C283:F283"/>
    <mergeCell ref="B282:K282"/>
    <mergeCell ref="B278:L278"/>
    <mergeCell ref="B279:L279"/>
    <mergeCell ref="B178:L178"/>
    <mergeCell ref="B192:L192"/>
    <mergeCell ref="B197:L197"/>
    <mergeCell ref="B231:L231"/>
    <mergeCell ref="B236:L236"/>
    <mergeCell ref="B220:L220"/>
    <mergeCell ref="B225:L225"/>
    <mergeCell ref="B152:L152"/>
    <mergeCell ref="E111:I111"/>
    <mergeCell ref="J111:N111"/>
    <mergeCell ref="B143:P143"/>
    <mergeCell ref="B134:L134"/>
    <mergeCell ref="B135:L135"/>
    <mergeCell ref="B130:L130"/>
    <mergeCell ref="B151:L151"/>
    <mergeCell ref="B122:N122"/>
    <mergeCell ref="B116:N116"/>
    <mergeCell ref="H147:J147"/>
    <mergeCell ref="K147:N147"/>
    <mergeCell ref="B110:N110"/>
    <mergeCell ref="B138:N138"/>
    <mergeCell ref="H139:J139"/>
    <mergeCell ref="B132:L132"/>
    <mergeCell ref="B146:N146"/>
    <mergeCell ref="J117:N117"/>
    <mergeCell ref="B58:K58"/>
    <mergeCell ref="B59:K59"/>
    <mergeCell ref="B52:K52"/>
    <mergeCell ref="B77:N77"/>
    <mergeCell ref="B108:K108"/>
    <mergeCell ref="E109:I109"/>
    <mergeCell ref="J109:N109"/>
    <mergeCell ref="B34:K34"/>
    <mergeCell ref="B35:K35"/>
    <mergeCell ref="B67:K67"/>
    <mergeCell ref="B36:K36"/>
    <mergeCell ref="B39:K39"/>
    <mergeCell ref="B107:K107"/>
    <mergeCell ref="B47:K47"/>
    <mergeCell ref="B69:K69"/>
    <mergeCell ref="B89:N89"/>
    <mergeCell ref="B2:N2"/>
    <mergeCell ref="B13:K13"/>
    <mergeCell ref="B14:K14"/>
    <mergeCell ref="B15:K15"/>
    <mergeCell ref="B25:N25"/>
    <mergeCell ref="B82:K82"/>
    <mergeCell ref="B57:K57"/>
    <mergeCell ref="B4:K4"/>
    <mergeCell ref="B30:K30"/>
    <mergeCell ref="B41:N41"/>
    <mergeCell ref="E117:I117"/>
    <mergeCell ref="B37:K37"/>
    <mergeCell ref="C53:F53"/>
    <mergeCell ref="G53:I53"/>
    <mergeCell ref="B38:K38"/>
    <mergeCell ref="B31:K31"/>
    <mergeCell ref="B32:K32"/>
    <mergeCell ref="B49:K49"/>
    <mergeCell ref="B50:K50"/>
    <mergeCell ref="B33:K33"/>
    <mergeCell ref="B8:N8"/>
    <mergeCell ref="B17:K17"/>
    <mergeCell ref="C18:F18"/>
    <mergeCell ref="G18:I18"/>
    <mergeCell ref="B46:K46"/>
    <mergeCell ref="B102:N102"/>
    <mergeCell ref="B48:K48"/>
    <mergeCell ref="B61:N61"/>
    <mergeCell ref="B83:K83"/>
    <mergeCell ref="B68:K68"/>
    <mergeCell ref="E103:I103"/>
    <mergeCell ref="B71:K71"/>
    <mergeCell ref="C72:F72"/>
    <mergeCell ref="G72:I72"/>
    <mergeCell ref="B84:K84"/>
    <mergeCell ref="B66:K66"/>
    <mergeCell ref="J103:N103"/>
    <mergeCell ref="B127:L127"/>
    <mergeCell ref="B131:L131"/>
    <mergeCell ref="H123:L123"/>
    <mergeCell ref="B133:L133"/>
    <mergeCell ref="M123:P123"/>
    <mergeCell ref="B129:L129"/>
    <mergeCell ref="B128:L128"/>
    <mergeCell ref="B153:L153"/>
    <mergeCell ref="B154:L154"/>
    <mergeCell ref="B261:N261"/>
    <mergeCell ref="B266:K266"/>
    <mergeCell ref="C254:F254"/>
    <mergeCell ref="G254:I254"/>
    <mergeCell ref="B246:N246"/>
    <mergeCell ref="C247:F247"/>
    <mergeCell ref="G247:I247"/>
    <mergeCell ref="B251:O251"/>
    <mergeCell ref="H158:L158"/>
    <mergeCell ref="B162:N162"/>
    <mergeCell ref="B215:L215"/>
    <mergeCell ref="B170:N170"/>
    <mergeCell ref="B200:L200"/>
    <mergeCell ref="B205:L205"/>
    <mergeCell ref="B206:L206"/>
    <mergeCell ref="B208:L208"/>
    <mergeCell ref="B213:L213"/>
    <mergeCell ref="B166:T166"/>
    <mergeCell ref="B157:N157"/>
    <mergeCell ref="B253:N253"/>
    <mergeCell ref="B163:N163"/>
    <mergeCell ref="B164:N164"/>
    <mergeCell ref="B172:L172"/>
    <mergeCell ref="B183:L183"/>
    <mergeCell ref="C209:F209"/>
    <mergeCell ref="G209:I209"/>
    <mergeCell ref="B185:L185"/>
    <mergeCell ref="B190:L190"/>
    <mergeCell ref="C311:F311"/>
    <mergeCell ref="G311:I311"/>
    <mergeCell ref="B315:L315"/>
    <mergeCell ref="B316:L316"/>
    <mergeCell ref="C296:F296"/>
    <mergeCell ref="G296:I296"/>
    <mergeCell ref="B300:L300"/>
    <mergeCell ref="B303:L303"/>
    <mergeCell ref="C304:F304"/>
    <mergeCell ref="G304:I304"/>
    <mergeCell ref="B310:L310"/>
    <mergeCell ref="B295:L295"/>
    <mergeCell ref="B257:O257"/>
    <mergeCell ref="B269:K269"/>
    <mergeCell ref="C262:F262"/>
    <mergeCell ref="G262:I262"/>
    <mergeCell ref="B267:K267"/>
    <mergeCell ref="B273:L273"/>
    <mergeCell ref="B268:K268"/>
    <mergeCell ref="B287:L287"/>
    <mergeCell ref="B318:K318"/>
    <mergeCell ref="B293:L293"/>
    <mergeCell ref="B259:L259"/>
    <mergeCell ref="B244:L244"/>
    <mergeCell ref="B23:L23"/>
    <mergeCell ref="B6:L6"/>
    <mergeCell ref="B238:K238"/>
    <mergeCell ref="C239:F239"/>
    <mergeCell ref="G239:I239"/>
    <mergeCell ref="B308:L308"/>
    <mergeCell ref="C340:F340"/>
    <mergeCell ref="G340:I340"/>
    <mergeCell ref="B339:M339"/>
    <mergeCell ref="B344:M344"/>
    <mergeCell ref="B345:M345"/>
    <mergeCell ref="B331:L331"/>
    <mergeCell ref="C332:F332"/>
    <mergeCell ref="G332:I332"/>
    <mergeCell ref="B336:L336"/>
    <mergeCell ref="B337:L3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2013-04-18T07:04:29Z</dcterms:modified>
  <cp:category/>
  <cp:version/>
  <cp:contentType/>
  <cp:contentStatus/>
</cp:coreProperties>
</file>