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105" windowWidth="9375" windowHeight="7845" tabRatio="568" activeTab="0"/>
  </bookViews>
  <sheets>
    <sheet name="KOLON HESABI" sheetId="1" r:id="rId1"/>
  </sheets>
  <definedNames>
    <definedName name="BOY">#REF!</definedName>
    <definedName name="çap">#REF!</definedName>
    <definedName name="ÇAP9">#REF!</definedName>
    <definedName name="debi">#REF!</definedName>
    <definedName name="DEBİ9">#REF!</definedName>
    <definedName name="hız">#REF!</definedName>
  </definedNames>
  <calcPr fullCalcOnLoad="1"/>
</workbook>
</file>

<file path=xl/sharedStrings.xml><?xml version="1.0" encoding="utf-8"?>
<sst xmlns="http://schemas.openxmlformats.org/spreadsheetml/2006/main" count="129" uniqueCount="73">
  <si>
    <t>Sayaç</t>
  </si>
  <si>
    <t>Küresel</t>
  </si>
  <si>
    <t>T-Kol</t>
  </si>
  <si>
    <t>Redük-</t>
  </si>
  <si>
    <t>İstavroz</t>
  </si>
  <si>
    <t>TOPLAM</t>
  </si>
  <si>
    <t>z</t>
  </si>
  <si>
    <t>Dirsek</t>
  </si>
  <si>
    <t>Vana</t>
  </si>
  <si>
    <t>Akış</t>
  </si>
  <si>
    <t>siyon</t>
  </si>
  <si>
    <t>Kol-Ayr.</t>
  </si>
  <si>
    <t>Ksi</t>
  </si>
  <si>
    <t>T-Düz</t>
  </si>
  <si>
    <t>Düz-Akış</t>
  </si>
  <si>
    <t>V(m3/h)</t>
  </si>
  <si>
    <t>SAYAÇ=G4,6,16,25,40,65</t>
  </si>
  <si>
    <t>OCAK+KOMBİ İÇİN KONUT=1,6+2,5</t>
  </si>
  <si>
    <t>1,8&gt;</t>
  </si>
  <si>
    <t>No</t>
  </si>
  <si>
    <t>UYGUNDUR</t>
  </si>
  <si>
    <t>*Q(kcal/h)</t>
  </si>
  <si>
    <r>
      <t xml:space="preserve">z  </t>
    </r>
    <r>
      <rPr>
        <b/>
        <sz val="10"/>
        <rFont val="MS Sans Serif"/>
        <family val="0"/>
      </rPr>
      <t xml:space="preserve">Ksi  DEĞERLERİ  TABLOSU  </t>
    </r>
  </si>
  <si>
    <t>Not:*,açık sarı renkler giriş,gül rengi değerler çıkış değerleridir.</t>
  </si>
  <si>
    <t>DOĞALGAZ BORU ÇAPI BELİRLEME FORMU
-KONUTLAR İÇİN-</t>
  </si>
  <si>
    <t>*Daire
Sayısı</t>
  </si>
  <si>
    <t>*Kazan
Kapasite
kcal/h</t>
  </si>
  <si>
    <t>V1
m3/h</t>
  </si>
  <si>
    <t>Eşzaman Fak.</t>
  </si>
  <si>
    <t>*V
m3/h</t>
  </si>
  <si>
    <t xml:space="preserve">
*L
m</t>
  </si>
  <si>
    <t>*DN
mm</t>
  </si>
  <si>
    <t xml:space="preserve">
W
m/s</t>
  </si>
  <si>
    <t>PR/L
mbar/m</t>
  </si>
  <si>
    <t xml:space="preserve">
PR
mbar</t>
  </si>
  <si>
    <t>z
Ksi</t>
  </si>
  <si>
    <t>PF
mbar</t>
  </si>
  <si>
    <t>*h
m</t>
  </si>
  <si>
    <t xml:space="preserve">
PA
mbar</t>
  </si>
  <si>
    <t>Topl. P
mbar</t>
  </si>
  <si>
    <t xml:space="preserve">
DN
Emny</t>
  </si>
  <si>
    <t>Sayaç
G4,6,16
25,40,65</t>
  </si>
  <si>
    <t>Kolon
No</t>
  </si>
  <si>
    <t>Formüller:Genel olarak 
V=f*DA*c     -f=Eş zaman fak.  
DA=Daire Sayısı  c=Birim debi</t>
  </si>
  <si>
    <t>Debiye Bağlı Formül:
 f=(k1*KUVVET(V;-k2)
V=V1*(k1*KUVVET(V;-k2)
k1=0,024*V1+0,6 
k2=0,46*KUVVET(V1;-0,53)</t>
  </si>
  <si>
    <t>V
m3/h</t>
  </si>
  <si>
    <t>*DA</t>
  </si>
  <si>
    <t>*V
(m3/h)</t>
  </si>
  <si>
    <t>Emn
DN</t>
  </si>
  <si>
    <t>Sayaç
G</t>
  </si>
  <si>
    <t xml:space="preserve">YAKLAŞIK TÜKETİM DEBİSİ(V(m3/h))-BORU ÇAPI (DN..)  HESABI
</t>
  </si>
  <si>
    <t>1-Ocak….c1=1,5 m3/h  
V=(0,558*KUVVVET(DA;-0,4089))*DA*1,5</t>
  </si>
  <si>
    <t>2-Ocak+Şofben….c2=1,6+3,2=4,8 m3/h  
V=(0,5624*KUVVVET(DA;-0,5178))*DA*4,8</t>
  </si>
  <si>
    <t>3-Ocak+Kombi….c3=1,6+2,5=4,1 m3/h  
V=(0,935*KUVVVET(DA;-0,1915))*DA*4,1</t>
  </si>
  <si>
    <t>4-Ocak+Kalorifer….c4=1,6+3,2=4,8 m3/h  
V=(0,8382*KUVVVET(DA;-0,1176))*DA*4,8</t>
  </si>
  <si>
    <t>5-Soba...….c5=3*0,7=2,1 m3/h  
V=(0,6956*KUVVVET(DA;-0,3051))*DA*2,1</t>
  </si>
  <si>
    <t>6-Ocak+Şof+Kal.c6=1,6+3,2+1,3=6,1 m3/h  
V=(0,6489*KUVVVET(DA;-0,2744)*DA*6,1</t>
  </si>
  <si>
    <t>Hat 
No</t>
  </si>
  <si>
    <t xml:space="preserve">
P1
bar</t>
  </si>
  <si>
    <t xml:space="preserve">
P2
bar</t>
  </si>
  <si>
    <t xml:space="preserve">
Wmax
m/s</t>
  </si>
  <si>
    <t>&lt;15</t>
  </si>
  <si>
    <t>*d
DN
mm</t>
  </si>
  <si>
    <t>Formülasyon:
p2=karekök(kuvvet(p1;2)-(29160*(kuvvet(V;1,82)/kuvvet(d;4,82)*L)
W=(353,7*V)/(kuvvet(d;2)*p2)</t>
  </si>
  <si>
    <t>KRİTİK DEVRE İÇİN V=11,1 m/s&lt;15 m/s OLDUĞUNDAN UYGUNDUR</t>
  </si>
  <si>
    <t>KRİTİK DEVRE İÇİN V=10,8 m/s&lt;15 m/s OLDUĞUNDAN UYGUNDUR</t>
  </si>
  <si>
    <t>KRİTİK DEVRE İÇİN V=10,9 m/s&lt;15 m/s OLDUĞUNDAN UYGUNDUR</t>
  </si>
  <si>
    <t>300 mbar için-DOĞALGAZ BORU ÇAPI BELİRLEME FORMU
-İŞYERLERİ İÇİN-</t>
  </si>
  <si>
    <t>21mbar için-DOĞALGAZ BORU ÇAPI BELİRLEME FORMU
-İŞYERLERİ İÇİN-</t>
  </si>
  <si>
    <t>300 mbar KRİTİK DEVRE BORU İÇİ HIZ KONTROL HESABI</t>
  </si>
  <si>
    <t>Kullanıcı
Sayısı</t>
  </si>
  <si>
    <t>Eşzaman 
Fak.</t>
  </si>
  <si>
    <t xml:space="preserve">Not:*,açık sarı renkler giriş,gül rengi değerler çıkış değerleridir.
</t>
  </si>
</sst>
</file>

<file path=xl/styles.xml><?xml version="1.0" encoding="utf-8"?>
<styleSheet xmlns="http://schemas.openxmlformats.org/spreadsheetml/2006/main">
  <numFmts count="3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-.$&quot;;\-#,##0\ &quot;-.$&quot;"/>
    <numFmt numFmtId="173" formatCode="#,##0\ &quot;-.$&quot;;[Red]\-#,##0\ &quot;-.$&quot;"/>
    <numFmt numFmtId="174" formatCode="#,##0.00\ &quot;-.$&quot;;\-#,##0.00\ &quot;-.$&quot;"/>
    <numFmt numFmtId="175" formatCode="#,##0.00\ &quot;-.$&quot;;[Red]\-#,##0.00\ &quot;-.$&quot;"/>
    <numFmt numFmtId="176" formatCode="_-* #,##0\ &quot;-.$&quot;_-;\-* #,##0\ &quot;-.$&quot;_-;_-* &quot;-&quot;\ &quot;-.$&quot;_-;_-@_-"/>
    <numFmt numFmtId="177" formatCode="_-* #,##0\ _-_._$_-;\-* #,##0\ _-_._$_-;_-* &quot;-&quot;\ _-_._$_-;_-@_-"/>
    <numFmt numFmtId="178" formatCode="_-* #,##0.00\ &quot;-.$&quot;_-;\-* #,##0.00\ &quot;-.$&quot;_-;_-* &quot;-&quot;??\ &quot;-.$&quot;_-;_-@_-"/>
    <numFmt numFmtId="179" formatCode="_-* #,##0.00\ _-_._$_-;\-* #,##0.00\ _-_._$_-;_-* &quot;-&quot;??\ _-_._$_-;_-@_-"/>
    <numFmt numFmtId="180" formatCode="#,##0\ &quot; TL&quot;;\-#,##0\ &quot; TL&quot;"/>
    <numFmt numFmtId="181" formatCode="#,##0\ &quot; TL&quot;;[Red]\-#,##0\ &quot; TL&quot;"/>
    <numFmt numFmtId="182" formatCode="#,##0.00\ &quot; TL&quot;;\-#,##0.00\ &quot; TL&quot;"/>
    <numFmt numFmtId="183" formatCode="#,##0.00\ &quot; TL&quot;;[Red]\-#,##0.00\ &quot; TL&quot;"/>
    <numFmt numFmtId="184" formatCode="_-* #,##0\ &quot; TL&quot;_-;\-* #,##0\ &quot; TL&quot;_-;_-* &quot;-&quot;\ &quot; TL&quot;_-;_-@_-"/>
    <numFmt numFmtId="185" formatCode="_-* #,##0\ _ _T_L_-;\-* #,##0\ _ _T_L_-;_-* &quot;-&quot;\ _ _T_L_-;_-@_-"/>
    <numFmt numFmtId="186" formatCode="_-* #,##0.00\ &quot; TL&quot;_-;\-* #,##0.00\ &quot; TL&quot;_-;_-* &quot;-&quot;??\ &quot; TL&quot;_-;_-@_-"/>
    <numFmt numFmtId="187" formatCode="_-* #,##0.00\ _ _T_L_-;\-* #,##0.00\ _ _T_L_-;_-* &quot;-&quot;??\ _ _T_L_-;_-@_-"/>
    <numFmt numFmtId="188" formatCode="#,##0\ \T\L;\(#,##0\T\L\)"/>
    <numFmt numFmtId="189" formatCode="0.0000"/>
    <numFmt numFmtId="190" formatCode="0.00000"/>
    <numFmt numFmtId="191" formatCode="0.000"/>
    <numFmt numFmtId="192" formatCode="0.0"/>
    <numFmt numFmtId="193" formatCode="0.000000"/>
  </numFmts>
  <fonts count="5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sz val="10"/>
      <name val="MS Sans Serif"/>
      <family val="0"/>
    </font>
    <font>
      <sz val="10"/>
      <name val="Symbol"/>
      <family val="0"/>
    </font>
    <font>
      <b/>
      <sz val="12"/>
      <name val="MS Sans Serif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0"/>
      <name val="MS Sans Serif"/>
      <family val="0"/>
    </font>
    <font>
      <b/>
      <sz val="11"/>
      <name val="Arial Tur"/>
      <family val="0"/>
    </font>
    <font>
      <b/>
      <sz val="10"/>
      <name val="Symbol"/>
      <family val="1"/>
    </font>
    <font>
      <b/>
      <sz val="16"/>
      <name val="Arial"/>
      <family val="2"/>
    </font>
    <font>
      <b/>
      <sz val="16"/>
      <name val="Arial Tur"/>
      <family val="0"/>
    </font>
    <font>
      <b/>
      <sz val="12"/>
      <name val="Times New Roman"/>
      <family val="1"/>
    </font>
    <font>
      <b/>
      <sz val="11"/>
      <name val="MS Sans Serif"/>
      <family val="0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>
      <alignment/>
      <protection/>
    </xf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Continuous"/>
    </xf>
    <xf numFmtId="0" fontId="4" fillId="35" borderId="10" xfId="0" applyFont="1" applyFill="1" applyBorder="1" applyAlignment="1">
      <alignment horizontal="centerContinuous"/>
    </xf>
    <xf numFmtId="0" fontId="0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Continuous"/>
    </xf>
    <xf numFmtId="0" fontId="0" fillId="36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"/>
    </xf>
    <xf numFmtId="192" fontId="8" fillId="35" borderId="10" xfId="0" applyNumberFormat="1" applyFont="1" applyFill="1" applyBorder="1" applyAlignment="1">
      <alignment horizontal="center"/>
    </xf>
    <xf numFmtId="191" fontId="8" fillId="35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36" borderId="10" xfId="0" applyFont="1" applyFill="1" applyBorder="1" applyAlignment="1">
      <alignment horizontal="center"/>
    </xf>
    <xf numFmtId="191" fontId="6" fillId="38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91" fontId="8" fillId="34" borderId="10" xfId="0" applyNumberFormat="1" applyFont="1" applyFill="1" applyBorder="1" applyAlignment="1">
      <alignment horizontal="center"/>
    </xf>
    <xf numFmtId="1" fontId="8" fillId="38" borderId="10" xfId="0" applyNumberFormat="1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192" fontId="10" fillId="35" borderId="10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192" fontId="9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Continuous" wrapText="1"/>
    </xf>
    <xf numFmtId="0" fontId="4" fillId="36" borderId="10" xfId="0" applyFont="1" applyFill="1" applyBorder="1" applyAlignment="1">
      <alignment horizontal="centerContinuous" wrapText="1"/>
    </xf>
    <xf numFmtId="0" fontId="4" fillId="34" borderId="10" xfId="0" applyFont="1" applyFill="1" applyBorder="1" applyAlignment="1">
      <alignment horizontal="centerContinuous" wrapText="1"/>
    </xf>
    <xf numFmtId="0" fontId="4" fillId="33" borderId="10" xfId="0" applyFont="1" applyFill="1" applyBorder="1" applyAlignment="1">
      <alignment horizontal="centerContinuous" wrapText="1"/>
    </xf>
    <xf numFmtId="0" fontId="4" fillId="39" borderId="10" xfId="0" applyFont="1" applyFill="1" applyBorder="1" applyAlignment="1">
      <alignment horizontal="centerContinuous" wrapText="1"/>
    </xf>
    <xf numFmtId="0" fontId="4" fillId="38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Continuous" wrapText="1"/>
    </xf>
    <xf numFmtId="0" fontId="6" fillId="0" borderId="1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91" fontId="14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 wrapText="1"/>
    </xf>
    <xf numFmtId="0" fontId="4" fillId="0" borderId="10" xfId="0" applyFont="1" applyFill="1" applyBorder="1" applyAlignment="1">
      <alignment horizontal="centerContinuous"/>
    </xf>
    <xf numFmtId="1" fontId="8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1" fontId="8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8" fillId="38" borderId="10" xfId="0" applyNumberFormat="1" applyFont="1" applyFill="1" applyBorder="1" applyAlignment="1">
      <alignment horizontal="center"/>
    </xf>
    <xf numFmtId="19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91" fontId="8" fillId="0" borderId="10" xfId="0" applyNumberFormat="1" applyFont="1" applyFill="1" applyBorder="1" applyAlignment="1">
      <alignment horizontal="center"/>
    </xf>
    <xf numFmtId="191" fontId="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7" borderId="10" xfId="0" applyFont="1" applyFill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37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92" fontId="10" fillId="0" borderId="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Continuous" wrapText="1"/>
    </xf>
    <xf numFmtId="0" fontId="0" fillId="36" borderId="10" xfId="0" applyFont="1" applyFill="1" applyBorder="1" applyAlignment="1">
      <alignment horizontal="center" wrapText="1"/>
    </xf>
    <xf numFmtId="0" fontId="16" fillId="40" borderId="10" xfId="0" applyFont="1" applyFill="1" applyBorder="1" applyAlignment="1">
      <alignment/>
    </xf>
    <xf numFmtId="192" fontId="15" fillId="36" borderId="15" xfId="0" applyNumberFormat="1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192" fontId="10" fillId="36" borderId="10" xfId="0" applyNumberFormat="1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 wrapText="1"/>
    </xf>
    <xf numFmtId="0" fontId="0" fillId="41" borderId="0" xfId="0" applyFont="1" applyFill="1" applyBorder="1" applyAlignment="1">
      <alignment/>
    </xf>
    <xf numFmtId="0" fontId="8" fillId="41" borderId="0" xfId="0" applyFont="1" applyFill="1" applyBorder="1" applyAlignment="1">
      <alignment/>
    </xf>
    <xf numFmtId="0" fontId="8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2" fontId="8" fillId="41" borderId="0" xfId="0" applyNumberFormat="1" applyFont="1" applyFill="1" applyBorder="1" applyAlignment="1">
      <alignment horizontal="center"/>
    </xf>
    <xf numFmtId="0" fontId="0" fillId="41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39" borderId="15" xfId="0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9" fillId="39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7" fillId="0" borderId="10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36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Continuous" wrapText="1"/>
    </xf>
    <xf numFmtId="0" fontId="0" fillId="0" borderId="10" xfId="0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92" fontId="8" fillId="0" borderId="0" xfId="0" applyNumberFormat="1" applyFont="1" applyFill="1" applyBorder="1" applyAlignment="1">
      <alignment horizontal="center"/>
    </xf>
    <xf numFmtId="191" fontId="8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2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8" fillId="39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39" borderId="10" xfId="0" applyFont="1" applyFill="1" applyBorder="1" applyAlignment="1">
      <alignment horizontal="left" wrapText="1"/>
    </xf>
    <xf numFmtId="0" fontId="11" fillId="36" borderId="1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wrapText="1"/>
    </xf>
    <xf numFmtId="0" fontId="10" fillId="39" borderId="10" xfId="0" applyFont="1" applyFill="1" applyBorder="1" applyAlignment="1">
      <alignment/>
    </xf>
    <xf numFmtId="0" fontId="8" fillId="18" borderId="0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9" fillId="39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34" borderId="13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1" fillId="36" borderId="13" xfId="0" applyFont="1" applyFill="1" applyBorder="1" applyAlignment="1">
      <alignment wrapText="1"/>
    </xf>
    <xf numFmtId="0" fontId="1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8" fillId="36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0" fillId="36" borderId="13" xfId="0" applyFont="1" applyFill="1" applyBorder="1" applyAlignment="1">
      <alignment horizontal="center"/>
    </xf>
    <xf numFmtId="0" fontId="0" fillId="4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6"/>
  <sheetViews>
    <sheetView showGridLines="0" tabSelected="1" zoomScalePageLayoutView="0" workbookViewId="0" topLeftCell="A4">
      <selection activeCell="X23" sqref="X23"/>
    </sheetView>
  </sheetViews>
  <sheetFormatPr defaultColWidth="9.00390625" defaultRowHeight="12.75"/>
  <cols>
    <col min="1" max="1" width="6.125" style="3" customWidth="1"/>
    <col min="2" max="2" width="10.75390625" style="3" customWidth="1"/>
    <col min="3" max="3" width="10.25390625" style="3" customWidth="1"/>
    <col min="4" max="4" width="8.875" style="3" customWidth="1"/>
    <col min="5" max="5" width="6.875" style="3" customWidth="1"/>
    <col min="6" max="6" width="7.875" style="3" customWidth="1"/>
    <col min="7" max="7" width="8.125" style="3" customWidth="1"/>
    <col min="8" max="8" width="11.625" style="3" customWidth="1"/>
    <col min="9" max="9" width="8.00390625" style="3" customWidth="1"/>
    <col min="10" max="10" width="7.625" style="3" customWidth="1"/>
    <col min="11" max="11" width="7.25390625" style="3" customWidth="1"/>
    <col min="12" max="12" width="9.00390625" style="3" customWidth="1"/>
    <col min="13" max="13" width="8.00390625" style="3" customWidth="1"/>
    <col min="14" max="14" width="10.00390625" style="3" customWidth="1"/>
    <col min="15" max="15" width="9.25390625" style="3" customWidth="1"/>
    <col min="16" max="16" width="6.25390625" style="3" customWidth="1"/>
    <col min="17" max="17" width="7.25390625" style="3" customWidth="1"/>
    <col min="18" max="18" width="5.75390625" style="3" customWidth="1"/>
    <col min="19" max="19" width="5.125" style="3" customWidth="1"/>
    <col min="20" max="20" width="8.00390625" style="3" customWidth="1"/>
    <col min="21" max="21" width="8.25390625" style="3" customWidth="1"/>
    <col min="22" max="22" width="7.375" style="3" customWidth="1"/>
    <col min="23" max="24" width="7.125" style="3" customWidth="1"/>
    <col min="25" max="25" width="7.00390625" style="3" customWidth="1"/>
    <col min="26" max="26" width="7.125" style="3" customWidth="1"/>
    <col min="27" max="27" width="7.75390625" style="3" customWidth="1"/>
    <col min="28" max="29" width="8.25390625" style="3" customWidth="1"/>
    <col min="30" max="30" width="8.75390625" style="3" customWidth="1"/>
    <col min="31" max="16384" width="9.125" style="3" customWidth="1"/>
  </cols>
  <sheetData>
    <row r="1" s="2" customFormat="1" ht="16.5" customHeight="1"/>
    <row r="2" spans="1:17" s="2" customFormat="1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50"/>
      <c r="L3" s="51"/>
      <c r="M3" s="51"/>
      <c r="N3" s="30"/>
      <c r="O3" s="68"/>
      <c r="P3" s="50"/>
      <c r="Q3" s="50"/>
    </row>
    <row r="4" spans="1:30" ht="39" customHeight="1">
      <c r="A4" s="30"/>
      <c r="B4" s="161" t="s">
        <v>24</v>
      </c>
      <c r="C4" s="161"/>
      <c r="D4" s="161"/>
      <c r="E4" s="161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  <c r="R4" s="50"/>
      <c r="T4" s="154" t="s">
        <v>22</v>
      </c>
      <c r="U4" s="154"/>
      <c r="V4" s="154"/>
      <c r="W4" s="154"/>
      <c r="X4" s="154"/>
      <c r="Y4" s="154"/>
      <c r="Z4" s="154"/>
      <c r="AA4" s="154"/>
      <c r="AB4" s="154"/>
      <c r="AC4" s="154"/>
      <c r="AD4" s="154"/>
    </row>
    <row r="5" spans="1:18" ht="20.25" customHeight="1">
      <c r="A5" s="30"/>
      <c r="B5" s="164" t="s">
        <v>23</v>
      </c>
      <c r="C5" s="164"/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73"/>
    </row>
    <row r="6" spans="1:30" ht="15" customHeight="1">
      <c r="A6" s="30"/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7"/>
      <c r="R6" s="78"/>
      <c r="T6" s="6"/>
      <c r="U6" s="18" t="s">
        <v>0</v>
      </c>
      <c r="V6" s="13">
        <v>90</v>
      </c>
      <c r="W6" s="13">
        <v>45</v>
      </c>
      <c r="X6" s="14" t="s">
        <v>1</v>
      </c>
      <c r="Y6" s="9" t="s">
        <v>2</v>
      </c>
      <c r="Z6" s="9" t="s">
        <v>13</v>
      </c>
      <c r="AA6" s="92" t="s">
        <v>3</v>
      </c>
      <c r="AB6" s="93" t="s">
        <v>4</v>
      </c>
      <c r="AC6" s="93" t="s">
        <v>4</v>
      </c>
      <c r="AD6" s="14" t="s">
        <v>5</v>
      </c>
    </row>
    <row r="7" spans="1:30" ht="15.75" customHeight="1">
      <c r="A7" s="30"/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78"/>
      <c r="T7" s="7"/>
      <c r="U7" s="18"/>
      <c r="V7" s="13" t="s">
        <v>7</v>
      </c>
      <c r="W7" s="13" t="s">
        <v>7</v>
      </c>
      <c r="X7" s="14" t="s">
        <v>8</v>
      </c>
      <c r="Y7" s="9">
        <v>90</v>
      </c>
      <c r="Z7" s="9" t="s">
        <v>9</v>
      </c>
      <c r="AA7" s="94" t="s">
        <v>10</v>
      </c>
      <c r="AB7" s="9" t="s">
        <v>11</v>
      </c>
      <c r="AC7" s="95" t="s">
        <v>14</v>
      </c>
      <c r="AD7" s="14" t="s">
        <v>12</v>
      </c>
    </row>
    <row r="8" spans="1:30" ht="22.5" customHeight="1">
      <c r="A8" s="30"/>
      <c r="B8" s="88"/>
      <c r="C8" s="25">
        <v>1</v>
      </c>
      <c r="D8" s="25">
        <v>2</v>
      </c>
      <c r="E8" s="25">
        <v>3</v>
      </c>
      <c r="F8" s="25">
        <v>4</v>
      </c>
      <c r="G8" s="25">
        <v>5</v>
      </c>
      <c r="H8" s="25">
        <v>6</v>
      </c>
      <c r="I8" s="25">
        <v>7</v>
      </c>
      <c r="J8" s="25">
        <v>8</v>
      </c>
      <c r="K8" s="25">
        <v>9</v>
      </c>
      <c r="L8" s="25">
        <v>10</v>
      </c>
      <c r="M8" s="24">
        <v>11</v>
      </c>
      <c r="N8" s="24">
        <v>12</v>
      </c>
      <c r="O8" s="24">
        <v>13</v>
      </c>
      <c r="P8" s="24">
        <v>14</v>
      </c>
      <c r="Q8" s="24">
        <v>16</v>
      </c>
      <c r="R8" s="69"/>
      <c r="T8" s="97" t="s">
        <v>19</v>
      </c>
      <c r="U8" s="19">
        <v>0</v>
      </c>
      <c r="V8" s="20">
        <v>0.4</v>
      </c>
      <c r="W8" s="20">
        <v>0.3</v>
      </c>
      <c r="X8" s="15">
        <v>0.5</v>
      </c>
      <c r="Y8" s="10">
        <v>1.3</v>
      </c>
      <c r="Z8" s="10">
        <v>0</v>
      </c>
      <c r="AA8" s="21">
        <v>0.5</v>
      </c>
      <c r="AB8" s="10">
        <v>1.3</v>
      </c>
      <c r="AC8" s="10">
        <v>0</v>
      </c>
      <c r="AD8" s="96" t="s">
        <v>6</v>
      </c>
    </row>
    <row r="9" spans="1:30" ht="15.75" customHeight="1">
      <c r="A9" s="30"/>
      <c r="B9" s="87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4"/>
      <c r="R9" s="79"/>
      <c r="T9" s="8"/>
      <c r="U9" s="54"/>
      <c r="V9" s="54"/>
      <c r="W9" s="54"/>
      <c r="X9" s="54"/>
      <c r="Y9" s="54"/>
      <c r="Z9" s="54"/>
      <c r="AA9" s="54"/>
      <c r="AB9" s="54"/>
      <c r="AC9" s="54"/>
      <c r="AD9" s="89"/>
    </row>
    <row r="10" spans="1:30" ht="39" customHeight="1">
      <c r="A10" s="30"/>
      <c r="B10" s="71" t="s">
        <v>42</v>
      </c>
      <c r="C10" s="57" t="s">
        <v>25</v>
      </c>
      <c r="D10" s="52" t="s">
        <v>71</v>
      </c>
      <c r="E10" s="58" t="s">
        <v>29</v>
      </c>
      <c r="F10" s="59" t="s">
        <v>30</v>
      </c>
      <c r="G10" s="59" t="s">
        <v>31</v>
      </c>
      <c r="H10" s="58" t="s">
        <v>32</v>
      </c>
      <c r="I10" s="58" t="s">
        <v>33</v>
      </c>
      <c r="J10" s="60" t="s">
        <v>34</v>
      </c>
      <c r="K10" s="61" t="s">
        <v>35</v>
      </c>
      <c r="L10" s="60" t="s">
        <v>36</v>
      </c>
      <c r="M10" s="62" t="s">
        <v>37</v>
      </c>
      <c r="N10" s="60" t="s">
        <v>38</v>
      </c>
      <c r="O10" s="63" t="s">
        <v>39</v>
      </c>
      <c r="P10" s="64" t="s">
        <v>40</v>
      </c>
      <c r="Q10" s="65" t="s">
        <v>41</v>
      </c>
      <c r="R10" s="80"/>
      <c r="T10" s="5"/>
      <c r="U10" s="17"/>
      <c r="V10" s="20"/>
      <c r="W10" s="20"/>
      <c r="X10" s="15"/>
      <c r="Y10" s="10"/>
      <c r="Z10" s="10"/>
      <c r="AA10" s="21"/>
      <c r="AB10" s="10"/>
      <c r="AC10" s="10"/>
      <c r="AD10" s="16">
        <f>(U10*0)+(V10*0.4)+(W10*0.3)+(X10*0.5)+(Y10*1.3)+(Z10*0)+(AA10*0.5)+(AB10*1.3)+(AC10*0)</f>
        <v>0</v>
      </c>
    </row>
    <row r="11" spans="1:30" ht="16.5" customHeight="1">
      <c r="A11" s="30"/>
      <c r="B11" s="72"/>
      <c r="C11" s="43"/>
      <c r="D11" s="48"/>
      <c r="E11" s="27"/>
      <c r="F11" s="24"/>
      <c r="G11" s="31"/>
      <c r="H11" s="27"/>
      <c r="I11" s="28"/>
      <c r="J11" s="33"/>
      <c r="K11" s="26"/>
      <c r="L11" s="34"/>
      <c r="M11" s="24"/>
      <c r="N11" s="33"/>
      <c r="O11" s="32"/>
      <c r="P11" s="29"/>
      <c r="Q11" s="35"/>
      <c r="R11" s="80"/>
      <c r="T11" s="5"/>
      <c r="U11" s="17"/>
      <c r="V11" s="20"/>
      <c r="W11" s="20"/>
      <c r="X11" s="15"/>
      <c r="Y11" s="10"/>
      <c r="Z11" s="10"/>
      <c r="AA11" s="21"/>
      <c r="AB11" s="10"/>
      <c r="AC11" s="10"/>
      <c r="AD11" s="16">
        <f aca="true" t="shared" si="0" ref="AD11:AD20">(U11*0)+(V11*0.4)+(W11*0.3)+(X11*0.5)+(Y11*1.3)+(Z11*0)+(AA11*0.5)+(AB11*1.3)+(AC11*0)</f>
        <v>0</v>
      </c>
    </row>
    <row r="12" spans="1:30" ht="16.5" customHeight="1">
      <c r="A12" s="30"/>
      <c r="B12" s="72">
        <v>1</v>
      </c>
      <c r="C12" s="43">
        <v>10</v>
      </c>
      <c r="D12" s="48">
        <f aca="true" t="shared" si="1" ref="D12:D17">0.935*POWER(C12,-0.1915)</f>
        <v>0.6016052407677969</v>
      </c>
      <c r="E12" s="27">
        <f aca="true" t="shared" si="2" ref="E12:E17">(0.935*POWER(C12,-0.1915))*4.1*C12</f>
        <v>24.665814871479668</v>
      </c>
      <c r="F12" s="24">
        <v>4</v>
      </c>
      <c r="G12" s="31">
        <v>40</v>
      </c>
      <c r="H12" s="27">
        <f aca="true" t="shared" si="3" ref="H12:H17">(317*E12)/(G12*G12)</f>
        <v>4.88691457141191</v>
      </c>
      <c r="I12" s="28">
        <f aca="true" t="shared" si="4" ref="I12:I17">(13920*POWER(E12,1.82))/POWER(G12,4.82)</f>
        <v>0.09022436373654197</v>
      </c>
      <c r="J12" s="33">
        <f aca="true" t="shared" si="5" ref="J12:J17">F12*I12</f>
        <v>0.3608974549461679</v>
      </c>
      <c r="K12" s="26">
        <f aca="true" t="shared" si="6" ref="K12:K20">AD12*1</f>
        <v>1.7000000000000002</v>
      </c>
      <c r="L12" s="34">
        <f>(K12*H12*3.97*H12)/1000</f>
        <v>0.16117917275684857</v>
      </c>
      <c r="M12" s="24">
        <v>-3</v>
      </c>
      <c r="N12" s="33">
        <f aca="true" t="shared" si="7" ref="N12:N17">0.049*M12</f>
        <v>-0.14700000000000002</v>
      </c>
      <c r="O12" s="32">
        <f aca="true" t="shared" si="8" ref="O12:O17">J12+L12+N12</f>
        <v>0.3750766277030164</v>
      </c>
      <c r="P12" s="29">
        <f aca="true" t="shared" si="9" ref="P12:P17">12*POWER(E12,0.4)</f>
        <v>43.25331848749456</v>
      </c>
      <c r="Q12" s="35">
        <f aca="true" t="shared" si="10" ref="Q12:Q17">0.6153*E12+0.3782</f>
        <v>15.555075890421438</v>
      </c>
      <c r="R12" s="80"/>
      <c r="T12" s="5">
        <v>1</v>
      </c>
      <c r="U12" s="17"/>
      <c r="V12" s="20">
        <v>3</v>
      </c>
      <c r="W12" s="20"/>
      <c r="X12" s="15">
        <v>1</v>
      </c>
      <c r="Y12" s="10"/>
      <c r="Z12" s="10"/>
      <c r="AA12" s="21"/>
      <c r="AB12" s="10"/>
      <c r="AC12" s="10"/>
      <c r="AD12" s="16">
        <f t="shared" si="0"/>
        <v>1.7000000000000002</v>
      </c>
    </row>
    <row r="13" spans="1:30" ht="16.5" customHeight="1">
      <c r="A13" s="30"/>
      <c r="B13" s="72">
        <v>2</v>
      </c>
      <c r="C13" s="43">
        <v>8</v>
      </c>
      <c r="D13" s="48">
        <f t="shared" si="1"/>
        <v>0.6278702105794725</v>
      </c>
      <c r="E13" s="27">
        <f t="shared" si="2"/>
        <v>20.594142907006695</v>
      </c>
      <c r="F13" s="24">
        <v>2.8</v>
      </c>
      <c r="G13" s="24">
        <v>40</v>
      </c>
      <c r="H13" s="27">
        <f t="shared" si="3"/>
        <v>4.080214563450701</v>
      </c>
      <c r="I13" s="28">
        <f t="shared" si="4"/>
        <v>0.0649716133677511</v>
      </c>
      <c r="J13" s="33">
        <f t="shared" si="5"/>
        <v>0.18192051742970308</v>
      </c>
      <c r="K13" s="26">
        <f t="shared" si="6"/>
        <v>1.3</v>
      </c>
      <c r="L13" s="70">
        <f>(K13*H13*3.97*H13)/1000</f>
        <v>0.085921106711267</v>
      </c>
      <c r="M13" s="24">
        <v>-3</v>
      </c>
      <c r="N13" s="33">
        <f t="shared" si="7"/>
        <v>-0.14700000000000002</v>
      </c>
      <c r="O13" s="32">
        <f t="shared" si="8"/>
        <v>0.12084162414097005</v>
      </c>
      <c r="P13" s="29">
        <f t="shared" si="9"/>
        <v>40.241923847251265</v>
      </c>
      <c r="Q13" s="35">
        <f t="shared" si="10"/>
        <v>13.049776130681218</v>
      </c>
      <c r="R13" s="80"/>
      <c r="T13" s="5">
        <v>2</v>
      </c>
      <c r="U13" s="17"/>
      <c r="V13" s="12"/>
      <c r="W13" s="12"/>
      <c r="X13" s="16"/>
      <c r="Y13" s="11">
        <v>1</v>
      </c>
      <c r="Z13" s="11"/>
      <c r="AA13" s="22"/>
      <c r="AB13" s="11"/>
      <c r="AC13" s="11"/>
      <c r="AD13" s="16">
        <f t="shared" si="0"/>
        <v>1.3</v>
      </c>
    </row>
    <row r="14" spans="1:30" ht="16.5" customHeight="1">
      <c r="A14" s="30"/>
      <c r="B14" s="72">
        <v>3</v>
      </c>
      <c r="C14" s="43">
        <v>6</v>
      </c>
      <c r="D14" s="48">
        <f t="shared" si="1"/>
        <v>0.6634308252114065</v>
      </c>
      <c r="E14" s="27">
        <f t="shared" si="2"/>
        <v>16.320398300200598</v>
      </c>
      <c r="F14" s="24">
        <v>2.8</v>
      </c>
      <c r="G14" s="31">
        <v>40</v>
      </c>
      <c r="H14" s="27">
        <f t="shared" si="3"/>
        <v>3.2334789132272435</v>
      </c>
      <c r="I14" s="28">
        <f t="shared" si="4"/>
        <v>0.042548087970104446</v>
      </c>
      <c r="J14" s="33">
        <f t="shared" si="5"/>
        <v>0.11913464631629245</v>
      </c>
      <c r="K14" s="26">
        <f t="shared" si="6"/>
        <v>1.3</v>
      </c>
      <c r="L14" s="34">
        <f>(K14*H19*3.97*H19)/1000</f>
        <v>0.0202587394140625</v>
      </c>
      <c r="M14" s="24">
        <v>-3</v>
      </c>
      <c r="N14" s="33">
        <f t="shared" si="7"/>
        <v>-0.14700000000000002</v>
      </c>
      <c r="O14" s="32">
        <f t="shared" si="8"/>
        <v>-0.007606614269645068</v>
      </c>
      <c r="P14" s="29">
        <f t="shared" si="9"/>
        <v>36.66684540312393</v>
      </c>
      <c r="Q14" s="35">
        <f t="shared" si="10"/>
        <v>10.420141074113427</v>
      </c>
      <c r="R14" s="81"/>
      <c r="S14" s="4"/>
      <c r="T14" s="5">
        <v>3</v>
      </c>
      <c r="U14" s="19"/>
      <c r="V14" s="20"/>
      <c r="W14" s="20"/>
      <c r="X14" s="15"/>
      <c r="Y14" s="10">
        <v>1</v>
      </c>
      <c r="Z14" s="10"/>
      <c r="AA14" s="21"/>
      <c r="AB14" s="10"/>
      <c r="AC14" s="10"/>
      <c r="AD14" s="16">
        <f t="shared" si="0"/>
        <v>1.3</v>
      </c>
    </row>
    <row r="15" spans="1:30" ht="16.5" customHeight="1">
      <c r="A15" s="30"/>
      <c r="B15" s="72">
        <v>4</v>
      </c>
      <c r="C15" s="43">
        <v>4</v>
      </c>
      <c r="D15" s="48">
        <f t="shared" si="1"/>
        <v>0.7169966433971706</v>
      </c>
      <c r="E15" s="27">
        <f t="shared" si="2"/>
        <v>11.758744951713597</v>
      </c>
      <c r="F15" s="24">
        <v>2.8</v>
      </c>
      <c r="G15" s="24">
        <v>32</v>
      </c>
      <c r="H15" s="27">
        <f t="shared" si="3"/>
        <v>3.6401583493097758</v>
      </c>
      <c r="I15" s="28">
        <f t="shared" si="4"/>
        <v>0.06868680354523087</v>
      </c>
      <c r="J15" s="33">
        <f t="shared" si="5"/>
        <v>0.19232304992664642</v>
      </c>
      <c r="K15" s="26">
        <f t="shared" si="6"/>
        <v>1.3</v>
      </c>
      <c r="L15" s="34">
        <f>(K15*H15*3.97*H15)/1000</f>
        <v>0.06838713524234437</v>
      </c>
      <c r="M15" s="24">
        <v>-3</v>
      </c>
      <c r="N15" s="33">
        <f t="shared" si="7"/>
        <v>-0.14700000000000002</v>
      </c>
      <c r="O15" s="32">
        <f t="shared" si="8"/>
        <v>0.11371018516899078</v>
      </c>
      <c r="P15" s="29">
        <f t="shared" si="9"/>
        <v>32.160710469527075</v>
      </c>
      <c r="Q15" s="35">
        <f t="shared" si="10"/>
        <v>7.613355768789376</v>
      </c>
      <c r="R15" s="81"/>
      <c r="T15" s="5">
        <v>4</v>
      </c>
      <c r="U15" s="17"/>
      <c r="V15" s="12"/>
      <c r="W15" s="12"/>
      <c r="X15" s="16"/>
      <c r="Y15" s="11">
        <v>1</v>
      </c>
      <c r="Z15" s="11"/>
      <c r="AA15" s="22"/>
      <c r="AB15" s="11"/>
      <c r="AC15" s="11"/>
      <c r="AD15" s="16">
        <f t="shared" si="0"/>
        <v>1.3</v>
      </c>
    </row>
    <row r="16" spans="1:30" ht="16.5" customHeight="1">
      <c r="A16" s="30"/>
      <c r="B16" s="72">
        <v>5</v>
      </c>
      <c r="C16" s="43">
        <v>2</v>
      </c>
      <c r="D16" s="48">
        <f t="shared" si="1"/>
        <v>0.8187746097531082</v>
      </c>
      <c r="E16" s="27">
        <f t="shared" si="2"/>
        <v>6.7139517999754865</v>
      </c>
      <c r="F16" s="24">
        <v>4</v>
      </c>
      <c r="G16" s="31">
        <v>25</v>
      </c>
      <c r="H16" s="27">
        <f t="shared" si="3"/>
        <v>3.405316352947567</v>
      </c>
      <c r="I16" s="28">
        <f t="shared" si="4"/>
        <v>0.08140831246219836</v>
      </c>
      <c r="J16" s="33">
        <f t="shared" si="5"/>
        <v>0.32563324984879344</v>
      </c>
      <c r="K16" s="26">
        <f t="shared" si="6"/>
        <v>1.3</v>
      </c>
      <c r="L16" s="34">
        <f>(K16*H16*3.97*H16)/1000</f>
        <v>0.05984788221190859</v>
      </c>
      <c r="M16" s="24">
        <v>-3</v>
      </c>
      <c r="N16" s="33">
        <f t="shared" si="7"/>
        <v>-0.14700000000000002</v>
      </c>
      <c r="O16" s="32">
        <f t="shared" si="8"/>
        <v>0.23848113206070198</v>
      </c>
      <c r="P16" s="29">
        <f t="shared" si="9"/>
        <v>25.7023322699667</v>
      </c>
      <c r="Q16" s="35">
        <f t="shared" si="10"/>
        <v>4.509294542524916</v>
      </c>
      <c r="R16" s="81"/>
      <c r="S16" s="4"/>
      <c r="T16" s="5">
        <v>5</v>
      </c>
      <c r="U16" s="19"/>
      <c r="V16" s="20"/>
      <c r="W16" s="20"/>
      <c r="X16" s="15"/>
      <c r="Y16" s="10">
        <v>1</v>
      </c>
      <c r="Z16" s="10"/>
      <c r="AA16" s="21"/>
      <c r="AB16" s="10"/>
      <c r="AC16" s="10"/>
      <c r="AD16" s="16">
        <f t="shared" si="0"/>
        <v>1.3</v>
      </c>
    </row>
    <row r="17" spans="1:30" ht="16.5" customHeight="1">
      <c r="A17" s="30"/>
      <c r="B17" s="72">
        <v>6</v>
      </c>
      <c r="C17" s="43">
        <v>1</v>
      </c>
      <c r="D17" s="48">
        <f t="shared" si="1"/>
        <v>0.935</v>
      </c>
      <c r="E17" s="27">
        <f t="shared" si="2"/>
        <v>3.8335</v>
      </c>
      <c r="F17" s="24">
        <v>2</v>
      </c>
      <c r="G17" s="31">
        <v>25</v>
      </c>
      <c r="H17" s="27">
        <f t="shared" si="3"/>
        <v>1.9443511999999998</v>
      </c>
      <c r="I17" s="28">
        <f t="shared" si="4"/>
        <v>0.029357031882521655</v>
      </c>
      <c r="J17" s="33">
        <f t="shared" si="5"/>
        <v>0.05871406376504331</v>
      </c>
      <c r="K17" s="26">
        <f t="shared" si="6"/>
        <v>1.3</v>
      </c>
      <c r="L17" s="34">
        <f>(K17*H17*3.97*H17)/1000</f>
        <v>0.01951116870052677</v>
      </c>
      <c r="M17" s="24">
        <v>-3</v>
      </c>
      <c r="N17" s="33">
        <f t="shared" si="7"/>
        <v>-0.14700000000000002</v>
      </c>
      <c r="O17" s="32">
        <f t="shared" si="8"/>
        <v>-0.06877476753442993</v>
      </c>
      <c r="P17" s="29">
        <f t="shared" si="9"/>
        <v>20.540898334373328</v>
      </c>
      <c r="Q17" s="35">
        <f t="shared" si="10"/>
        <v>2.73695255</v>
      </c>
      <c r="R17" s="81"/>
      <c r="S17" s="4"/>
      <c r="T17" s="5">
        <v>6</v>
      </c>
      <c r="U17" s="19"/>
      <c r="V17" s="20"/>
      <c r="W17" s="20"/>
      <c r="X17" s="15"/>
      <c r="Y17" s="10">
        <v>1</v>
      </c>
      <c r="Z17" s="10"/>
      <c r="AA17" s="21"/>
      <c r="AB17" s="10"/>
      <c r="AC17" s="10"/>
      <c r="AD17" s="16">
        <f t="shared" si="0"/>
        <v>1.3</v>
      </c>
    </row>
    <row r="18" spans="1:30" ht="16.5" customHeight="1">
      <c r="A18" s="30"/>
      <c r="B18" s="55"/>
      <c r="C18" s="55"/>
      <c r="D18" s="56"/>
      <c r="E18" s="83"/>
      <c r="F18" s="67"/>
      <c r="G18" s="84"/>
      <c r="H18" s="83"/>
      <c r="I18" s="85"/>
      <c r="J18" s="84"/>
      <c r="K18" s="67"/>
      <c r="L18" s="85"/>
      <c r="M18" s="67"/>
      <c r="N18" s="84"/>
      <c r="O18" s="86"/>
      <c r="P18" s="77"/>
      <c r="Q18" s="76"/>
      <c r="R18" s="81"/>
      <c r="S18" s="4"/>
      <c r="T18" s="5">
        <v>7</v>
      </c>
      <c r="U18" s="19"/>
      <c r="V18" s="20"/>
      <c r="W18" s="20"/>
      <c r="X18" s="15"/>
      <c r="Y18" s="10"/>
      <c r="Z18" s="10"/>
      <c r="AA18" s="21"/>
      <c r="AB18" s="10"/>
      <c r="AC18" s="10"/>
      <c r="AD18" s="16">
        <f t="shared" si="0"/>
        <v>0</v>
      </c>
    </row>
    <row r="19" spans="1:30" ht="16.5" customHeight="1">
      <c r="A19" s="30"/>
      <c r="B19" s="72">
        <v>7</v>
      </c>
      <c r="C19" s="43"/>
      <c r="D19" s="47"/>
      <c r="E19" s="27">
        <v>2.5</v>
      </c>
      <c r="F19" s="24">
        <v>2</v>
      </c>
      <c r="G19" s="31">
        <v>20</v>
      </c>
      <c r="H19" s="27">
        <f>(317*E19)/(G19*G19)</f>
        <v>1.98125</v>
      </c>
      <c r="I19" s="28">
        <f>(13920*POWER(E19,1.82))/POWER(G19,4.82)</f>
        <v>0.039529877814645974</v>
      </c>
      <c r="J19" s="33">
        <f>F19*I19</f>
        <v>0.07905975562929195</v>
      </c>
      <c r="K19" s="26">
        <f t="shared" si="6"/>
        <v>1.7000000000000002</v>
      </c>
      <c r="L19" s="34">
        <f>(K19*H19*3.97*H19)/1000</f>
        <v>0.026492197695312504</v>
      </c>
      <c r="M19" s="24">
        <v>0</v>
      </c>
      <c r="N19" s="33">
        <f>0.049*M19</f>
        <v>0</v>
      </c>
      <c r="O19" s="32">
        <f>J19+L19+N19</f>
        <v>0.10555195332460446</v>
      </c>
      <c r="P19" s="29">
        <f>12*POWER(E19,0.4)</f>
        <v>17.312398870886565</v>
      </c>
      <c r="Q19" s="36"/>
      <c r="R19" s="81"/>
      <c r="S19" s="4"/>
      <c r="T19" s="5">
        <v>8</v>
      </c>
      <c r="U19" s="19"/>
      <c r="V19" s="20">
        <v>3</v>
      </c>
      <c r="W19" s="20"/>
      <c r="X19" s="15">
        <v>1</v>
      </c>
      <c r="Y19" s="10"/>
      <c r="Z19" s="10"/>
      <c r="AA19" s="21"/>
      <c r="AB19" s="10"/>
      <c r="AC19" s="10"/>
      <c r="AD19" s="16">
        <f t="shared" si="0"/>
        <v>1.7000000000000002</v>
      </c>
    </row>
    <row r="20" spans="1:30" ht="16.5" customHeight="1">
      <c r="A20" s="30"/>
      <c r="B20" s="72">
        <v>8</v>
      </c>
      <c r="C20" s="43"/>
      <c r="D20" s="47"/>
      <c r="E20" s="27">
        <v>1.6</v>
      </c>
      <c r="F20" s="24">
        <v>2</v>
      </c>
      <c r="G20" s="31">
        <v>15</v>
      </c>
      <c r="H20" s="27">
        <f>(317*E20)/(G20*G20)</f>
        <v>2.2542222222222223</v>
      </c>
      <c r="I20" s="28">
        <f>(13920*POWER(E20,1.82))/POWER(G20,4.82)</f>
        <v>0.07020656665739679</v>
      </c>
      <c r="J20" s="33">
        <f>F20*I20</f>
        <v>0.14041313331479358</v>
      </c>
      <c r="K20" s="26">
        <f t="shared" si="6"/>
        <v>0</v>
      </c>
      <c r="L20" s="34">
        <f>(K20*H20*3.97*H20)/1000</f>
        <v>0</v>
      </c>
      <c r="M20" s="24">
        <v>3</v>
      </c>
      <c r="N20" s="33">
        <f>0.049*M20</f>
        <v>0.14700000000000002</v>
      </c>
      <c r="O20" s="32">
        <f>J20+L20+N20</f>
        <v>0.28741313331479357</v>
      </c>
      <c r="P20" s="29">
        <f>12*POWER(E20,0.4)</f>
        <v>14.48202320770839</v>
      </c>
      <c r="Q20" s="36"/>
      <c r="R20" s="81"/>
      <c r="S20" s="4"/>
      <c r="T20" s="5"/>
      <c r="U20" s="19"/>
      <c r="V20" s="20"/>
      <c r="W20" s="20"/>
      <c r="X20" s="15"/>
      <c r="Y20" s="10"/>
      <c r="Z20" s="10"/>
      <c r="AA20" s="21"/>
      <c r="AB20" s="10"/>
      <c r="AC20" s="10"/>
      <c r="AD20" s="16">
        <f t="shared" si="0"/>
        <v>0</v>
      </c>
    </row>
    <row r="21" spans="1:18" ht="15.75">
      <c r="A21" s="37"/>
      <c r="B21" s="49"/>
      <c r="C21" s="49"/>
      <c r="D21" s="49"/>
      <c r="E21" s="49"/>
      <c r="F21" s="49"/>
      <c r="G21" s="49"/>
      <c r="H21" s="49"/>
      <c r="I21" s="49"/>
      <c r="J21" s="49"/>
      <c r="K21" s="44"/>
      <c r="L21" s="45"/>
      <c r="M21" s="45"/>
      <c r="N21" s="49" t="s">
        <v>18</v>
      </c>
      <c r="O21" s="82">
        <f>SUM(O12:O20)</f>
        <v>1.1646932739090023</v>
      </c>
      <c r="P21" s="44" t="s">
        <v>20</v>
      </c>
      <c r="Q21" s="44"/>
      <c r="R21" s="73"/>
    </row>
    <row r="22" spans="1:18" ht="15.75">
      <c r="A22" s="37"/>
      <c r="B22" s="30"/>
      <c r="C22" s="30"/>
      <c r="D22" s="30"/>
      <c r="E22" s="30"/>
      <c r="F22" s="30"/>
      <c r="G22" s="30"/>
      <c r="H22" s="30"/>
      <c r="I22" s="30"/>
      <c r="J22" s="30"/>
      <c r="K22" s="50"/>
      <c r="L22" s="51"/>
      <c r="M22" s="91"/>
      <c r="N22" s="90"/>
      <c r="O22" s="68"/>
      <c r="P22" s="73"/>
      <c r="Q22" s="50"/>
      <c r="R22" s="73"/>
    </row>
    <row r="23" spans="1:18" ht="15.75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2"/>
      <c r="L23" s="113"/>
      <c r="M23" s="113"/>
      <c r="N23" s="111"/>
      <c r="O23" s="114"/>
      <c r="P23" s="112"/>
      <c r="Q23" s="112"/>
      <c r="R23" s="73"/>
    </row>
    <row r="24" spans="1:18" ht="15.75">
      <c r="A24" s="37"/>
      <c r="B24" s="30"/>
      <c r="C24" s="30"/>
      <c r="D24" s="30"/>
      <c r="E24" s="30"/>
      <c r="F24" s="30"/>
      <c r="G24" s="30"/>
      <c r="H24" s="30"/>
      <c r="I24" s="30"/>
      <c r="J24" s="30"/>
      <c r="K24" s="50"/>
      <c r="L24" s="51"/>
      <c r="M24" s="91"/>
      <c r="N24" s="90"/>
      <c r="O24" s="68"/>
      <c r="P24" s="73"/>
      <c r="Q24" s="50"/>
      <c r="R24" s="73"/>
    </row>
    <row r="25" spans="1:30" ht="29.25" customHeight="1">
      <c r="A25" s="166" t="s">
        <v>68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67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.75" customHeight="1">
      <c r="A26" s="148" t="s">
        <v>72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.75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2"/>
      <c r="S27" s="2"/>
      <c r="T27" s="127"/>
      <c r="U27" s="18" t="s">
        <v>0</v>
      </c>
      <c r="V27" s="13">
        <v>90</v>
      </c>
      <c r="W27" s="13">
        <v>45</v>
      </c>
      <c r="X27" s="14" t="s">
        <v>1</v>
      </c>
      <c r="Y27" s="9" t="s">
        <v>2</v>
      </c>
      <c r="Z27" s="9" t="s">
        <v>13</v>
      </c>
      <c r="AA27" s="92" t="s">
        <v>3</v>
      </c>
      <c r="AB27" s="93" t="s">
        <v>4</v>
      </c>
      <c r="AC27" s="93" t="s">
        <v>4</v>
      </c>
      <c r="AD27" s="14" t="s">
        <v>5</v>
      </c>
    </row>
    <row r="28" spans="1:30" ht="15.75" customHeight="1">
      <c r="A28" s="128"/>
      <c r="B28" s="25">
        <v>1</v>
      </c>
      <c r="C28" s="25">
        <v>2</v>
      </c>
      <c r="D28" s="25">
        <v>3</v>
      </c>
      <c r="E28" s="25">
        <v>4</v>
      </c>
      <c r="F28" s="25">
        <v>5</v>
      </c>
      <c r="G28" s="25">
        <v>6</v>
      </c>
      <c r="H28" s="25">
        <v>7</v>
      </c>
      <c r="I28" s="25">
        <v>8</v>
      </c>
      <c r="J28" s="25">
        <v>9</v>
      </c>
      <c r="K28" s="25">
        <v>10</v>
      </c>
      <c r="L28" s="24">
        <v>11</v>
      </c>
      <c r="M28" s="24">
        <v>12</v>
      </c>
      <c r="N28" s="24">
        <v>13</v>
      </c>
      <c r="O28" s="24">
        <v>14</v>
      </c>
      <c r="P28" s="69"/>
      <c r="Q28" s="69"/>
      <c r="R28" s="2"/>
      <c r="S28" s="2"/>
      <c r="T28" s="129"/>
      <c r="U28" s="130"/>
      <c r="V28" s="13" t="s">
        <v>7</v>
      </c>
      <c r="W28" s="13" t="s">
        <v>7</v>
      </c>
      <c r="X28" s="14" t="s">
        <v>8</v>
      </c>
      <c r="Y28" s="9">
        <v>90</v>
      </c>
      <c r="Z28" s="9" t="s">
        <v>9</v>
      </c>
      <c r="AA28" s="94" t="s">
        <v>10</v>
      </c>
      <c r="AB28" s="9" t="s">
        <v>11</v>
      </c>
      <c r="AC28" s="95" t="s">
        <v>14</v>
      </c>
      <c r="AD28" s="14" t="s">
        <v>12</v>
      </c>
    </row>
    <row r="29" spans="1:30" ht="27" customHeight="1">
      <c r="A29" s="71" t="s">
        <v>42</v>
      </c>
      <c r="B29" s="126" t="s">
        <v>26</v>
      </c>
      <c r="C29" s="53" t="s">
        <v>27</v>
      </c>
      <c r="D29" s="59" t="s">
        <v>30</v>
      </c>
      <c r="E29" s="59" t="s">
        <v>31</v>
      </c>
      <c r="F29" s="58" t="s">
        <v>32</v>
      </c>
      <c r="G29" s="58" t="s">
        <v>33</v>
      </c>
      <c r="H29" s="60" t="s">
        <v>34</v>
      </c>
      <c r="I29" s="61" t="s">
        <v>35</v>
      </c>
      <c r="J29" s="60" t="s">
        <v>36</v>
      </c>
      <c r="K29" s="62" t="s">
        <v>37</v>
      </c>
      <c r="L29" s="60" t="s">
        <v>38</v>
      </c>
      <c r="M29" s="63" t="s">
        <v>39</v>
      </c>
      <c r="N29" s="64" t="s">
        <v>40</v>
      </c>
      <c r="O29" s="65" t="s">
        <v>41</v>
      </c>
      <c r="P29" s="131"/>
      <c r="Q29" s="132"/>
      <c r="R29" s="2"/>
      <c r="S29" s="2"/>
      <c r="T29" s="133" t="s">
        <v>19</v>
      </c>
      <c r="U29" s="134">
        <v>0</v>
      </c>
      <c r="V29" s="135">
        <v>0.4</v>
      </c>
      <c r="W29" s="135">
        <v>0.3</v>
      </c>
      <c r="X29" s="136">
        <v>0.5</v>
      </c>
      <c r="Y29" s="137">
        <v>1.3</v>
      </c>
      <c r="Z29" s="137">
        <v>0</v>
      </c>
      <c r="AA29" s="138">
        <v>0.5</v>
      </c>
      <c r="AB29" s="137">
        <v>1.3</v>
      </c>
      <c r="AC29" s="137">
        <v>0</v>
      </c>
      <c r="AD29" s="96" t="s">
        <v>6</v>
      </c>
    </row>
    <row r="30" spans="1:30" ht="15.75" customHeight="1">
      <c r="A30" s="8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89"/>
      <c r="N30" s="75"/>
      <c r="O30" s="75"/>
      <c r="P30" s="79"/>
      <c r="Q30" s="79"/>
      <c r="R30" s="2"/>
      <c r="S30" s="2"/>
      <c r="T30" s="8"/>
      <c r="U30" s="54"/>
      <c r="V30" s="54"/>
      <c r="W30" s="54"/>
      <c r="X30" s="54"/>
      <c r="Y30" s="54"/>
      <c r="Z30" s="54"/>
      <c r="AA30" s="54"/>
      <c r="AB30" s="54"/>
      <c r="AC30" s="54"/>
      <c r="AD30" s="89"/>
    </row>
    <row r="31" spans="1:30" ht="15.75" customHeight="1">
      <c r="A31" s="72">
        <v>1</v>
      </c>
      <c r="B31" s="43">
        <v>100000</v>
      </c>
      <c r="C31" s="46">
        <f>B31/(8250*0.9)</f>
        <v>13.468013468013469</v>
      </c>
      <c r="D31" s="24">
        <v>2.8</v>
      </c>
      <c r="E31" s="24">
        <v>32</v>
      </c>
      <c r="F31" s="27">
        <f>(317*C31)/(E31*E31)</f>
        <v>4.169297138047138</v>
      </c>
      <c r="G31" s="28">
        <f>(13920*POWER(C31,1.82))/POWER(E31,4.82)</f>
        <v>0.08793237153483247</v>
      </c>
      <c r="H31" s="33">
        <f aca="true" t="shared" si="11" ref="H31:H37">D31*G31</f>
        <v>0.2462106402975309</v>
      </c>
      <c r="I31" s="26">
        <f aca="true" t="shared" si="12" ref="I31:I37">AD31*1</f>
        <v>1.3</v>
      </c>
      <c r="J31" s="34">
        <f aca="true" t="shared" si="13" ref="J31:J37">(I31*F31*3.97*F31)/1000</f>
        <v>0.08971386234531811</v>
      </c>
      <c r="K31" s="24">
        <v>-3</v>
      </c>
      <c r="L31" s="33">
        <f aca="true" t="shared" si="14" ref="L31:L37">0.049*K31</f>
        <v>-0.14700000000000002</v>
      </c>
      <c r="M31" s="32">
        <f aca="true" t="shared" si="15" ref="M31:M37">H31+J31+L31</f>
        <v>0.188924502642849</v>
      </c>
      <c r="N31" s="29">
        <f aca="true" t="shared" si="16" ref="N31:N37">12*POWER(C31,0.4)</f>
        <v>33.95491619040226</v>
      </c>
      <c r="O31" s="35">
        <f>0.6153*C31+0.3782</f>
        <v>8.665068686868686</v>
      </c>
      <c r="P31" s="81"/>
      <c r="Q31" s="80"/>
      <c r="R31" s="2"/>
      <c r="S31" s="2"/>
      <c r="T31" s="5">
        <f aca="true" t="shared" si="17" ref="T31:T37">A31*1</f>
        <v>1</v>
      </c>
      <c r="U31" s="17"/>
      <c r="V31" s="12"/>
      <c r="W31" s="12"/>
      <c r="X31" s="16"/>
      <c r="Y31" s="11">
        <v>1</v>
      </c>
      <c r="Z31" s="11"/>
      <c r="AA31" s="22"/>
      <c r="AB31" s="11"/>
      <c r="AC31" s="11"/>
      <c r="AD31" s="16">
        <f aca="true" t="shared" si="18" ref="AD31:AD37">(U31*0)+(V31*0.4)+(W31*0.3)+(X31*0.5)+(Y31*1.3)+(Z31*0)+(AA31*0.5)+(AB31*1.3)+(AC31*0)</f>
        <v>1.3</v>
      </c>
    </row>
    <row r="32" spans="1:30" ht="15.75" customHeight="1">
      <c r="A32" s="72">
        <v>3</v>
      </c>
      <c r="B32" s="43">
        <v>200000</v>
      </c>
      <c r="C32" s="46">
        <f>B32/(8250*0.9)</f>
        <v>26.936026936026938</v>
      </c>
      <c r="D32" s="24">
        <v>2.8</v>
      </c>
      <c r="E32" s="31">
        <v>40</v>
      </c>
      <c r="F32" s="27">
        <f aca="true" t="shared" si="19" ref="F32:F37">(317*C32)/(E32*E32)</f>
        <v>5.336700336700337</v>
      </c>
      <c r="G32" s="28">
        <f aca="true" t="shared" si="20" ref="G32:G37">(13920*POWER(C32,1.82))/POWER(E32,4.82)</f>
        <v>0.10590515877070154</v>
      </c>
      <c r="H32" s="33">
        <f t="shared" si="11"/>
        <v>0.2965344445579643</v>
      </c>
      <c r="I32" s="26">
        <f t="shared" si="12"/>
        <v>1.3</v>
      </c>
      <c r="J32" s="34">
        <f t="shared" si="13"/>
        <v>0.1469871920665692</v>
      </c>
      <c r="K32" s="24">
        <v>-3</v>
      </c>
      <c r="L32" s="33">
        <f t="shared" si="14"/>
        <v>-0.14700000000000002</v>
      </c>
      <c r="M32" s="32">
        <f t="shared" si="15"/>
        <v>0.29652163662453346</v>
      </c>
      <c r="N32" s="29">
        <f t="shared" si="16"/>
        <v>44.803780522866404</v>
      </c>
      <c r="O32" s="35">
        <f aca="true" t="shared" si="21" ref="O32:O37">0.6153*C32+0.3782</f>
        <v>16.951937373737373</v>
      </c>
      <c r="P32" s="81"/>
      <c r="Q32" s="80"/>
      <c r="R32" s="1"/>
      <c r="S32" s="1"/>
      <c r="T32" s="5">
        <f t="shared" si="17"/>
        <v>3</v>
      </c>
      <c r="U32" s="134"/>
      <c r="V32" s="135"/>
      <c r="W32" s="135"/>
      <c r="X32" s="136"/>
      <c r="Y32" s="137">
        <v>1</v>
      </c>
      <c r="Z32" s="137"/>
      <c r="AA32" s="138"/>
      <c r="AB32" s="137"/>
      <c r="AC32" s="137"/>
      <c r="AD32" s="16">
        <f t="shared" si="18"/>
        <v>1.3</v>
      </c>
    </row>
    <row r="33" spans="1:30" ht="15.75" customHeight="1">
      <c r="A33" s="72">
        <v>4</v>
      </c>
      <c r="B33" s="43">
        <v>300000</v>
      </c>
      <c r="C33" s="46">
        <f>B33/(8250*0.9)</f>
        <v>40.4040404040404</v>
      </c>
      <c r="D33" s="24">
        <v>2.8</v>
      </c>
      <c r="E33" s="24">
        <v>50</v>
      </c>
      <c r="F33" s="27">
        <f t="shared" si="19"/>
        <v>5.123232323232323</v>
      </c>
      <c r="G33" s="28">
        <f t="shared" si="20"/>
        <v>0.07556086908208733</v>
      </c>
      <c r="H33" s="33">
        <f t="shared" si="11"/>
        <v>0.2115704334298445</v>
      </c>
      <c r="I33" s="26">
        <f t="shared" si="12"/>
        <v>1.3</v>
      </c>
      <c r="J33" s="34">
        <f t="shared" si="13"/>
        <v>0.13546339620855016</v>
      </c>
      <c r="K33" s="24">
        <v>-3</v>
      </c>
      <c r="L33" s="33">
        <f t="shared" si="14"/>
        <v>-0.14700000000000002</v>
      </c>
      <c r="M33" s="32">
        <f t="shared" si="15"/>
        <v>0.20003382963839467</v>
      </c>
      <c r="N33" s="29">
        <f t="shared" si="16"/>
        <v>52.692786402742726</v>
      </c>
      <c r="O33" s="35">
        <f t="shared" si="21"/>
        <v>25.238806060606056</v>
      </c>
      <c r="P33" s="81"/>
      <c r="Q33" s="80"/>
      <c r="R33" s="2"/>
      <c r="S33" s="2"/>
      <c r="T33" s="5">
        <f t="shared" si="17"/>
        <v>4</v>
      </c>
      <c r="U33" s="17"/>
      <c r="V33" s="12"/>
      <c r="W33" s="12"/>
      <c r="X33" s="16"/>
      <c r="Y33" s="11">
        <v>1</v>
      </c>
      <c r="Z33" s="11"/>
      <c r="AA33" s="22"/>
      <c r="AB33" s="11"/>
      <c r="AC33" s="11"/>
      <c r="AD33" s="16">
        <f t="shared" si="18"/>
        <v>1.3</v>
      </c>
    </row>
    <row r="34" spans="1:30" ht="15.75" customHeight="1">
      <c r="A34" s="72">
        <v>5</v>
      </c>
      <c r="B34" s="43">
        <v>400000</v>
      </c>
      <c r="C34" s="46">
        <f>B34/(8250*0.9)</f>
        <v>53.872053872053876</v>
      </c>
      <c r="D34" s="24">
        <v>2.8</v>
      </c>
      <c r="E34" s="31">
        <v>50</v>
      </c>
      <c r="F34" s="27">
        <f t="shared" si="19"/>
        <v>6.830976430976431</v>
      </c>
      <c r="G34" s="28">
        <f t="shared" si="20"/>
        <v>0.12755146322653912</v>
      </c>
      <c r="H34" s="33">
        <f t="shared" si="11"/>
        <v>0.35714409703430955</v>
      </c>
      <c r="I34" s="26">
        <f t="shared" si="12"/>
        <v>1.3</v>
      </c>
      <c r="J34" s="34">
        <f t="shared" si="13"/>
        <v>0.240823815481867</v>
      </c>
      <c r="K34" s="24">
        <v>-3</v>
      </c>
      <c r="L34" s="33">
        <f t="shared" si="14"/>
        <v>-0.14700000000000002</v>
      </c>
      <c r="M34" s="32">
        <f t="shared" si="15"/>
        <v>0.4509679125161765</v>
      </c>
      <c r="N34" s="29">
        <f t="shared" si="16"/>
        <v>59.11894283245474</v>
      </c>
      <c r="O34" s="35">
        <f t="shared" si="21"/>
        <v>33.525674747474746</v>
      </c>
      <c r="P34" s="81"/>
      <c r="Q34" s="80"/>
      <c r="R34" s="1"/>
      <c r="S34" s="1"/>
      <c r="T34" s="5">
        <f t="shared" si="17"/>
        <v>5</v>
      </c>
      <c r="U34" s="134"/>
      <c r="V34" s="135"/>
      <c r="W34" s="135"/>
      <c r="X34" s="136"/>
      <c r="Y34" s="137">
        <v>1</v>
      </c>
      <c r="Z34" s="137"/>
      <c r="AA34" s="138"/>
      <c r="AB34" s="137"/>
      <c r="AC34" s="137"/>
      <c r="AD34" s="16">
        <f t="shared" si="18"/>
        <v>1.3</v>
      </c>
    </row>
    <row r="35" spans="1:30" ht="15.75" customHeight="1">
      <c r="A35" s="72">
        <v>6</v>
      </c>
      <c r="B35" s="43">
        <v>500000</v>
      </c>
      <c r="C35" s="46">
        <f>B35/(8250*0.9)</f>
        <v>67.34006734006734</v>
      </c>
      <c r="D35" s="24">
        <v>5</v>
      </c>
      <c r="E35" s="31">
        <v>65</v>
      </c>
      <c r="F35" s="27">
        <f t="shared" si="19"/>
        <v>5.052497360189667</v>
      </c>
      <c r="G35" s="28">
        <f t="shared" si="20"/>
        <v>0.05405734486073862</v>
      </c>
      <c r="H35" s="33">
        <f t="shared" si="11"/>
        <v>0.2702867243036931</v>
      </c>
      <c r="I35" s="26">
        <f t="shared" si="12"/>
        <v>1.7000000000000002</v>
      </c>
      <c r="J35" s="34">
        <f t="shared" si="13"/>
        <v>0.17228664689980927</v>
      </c>
      <c r="K35" s="24">
        <v>-3</v>
      </c>
      <c r="L35" s="33">
        <f t="shared" si="14"/>
        <v>-0.14700000000000002</v>
      </c>
      <c r="M35" s="32">
        <f t="shared" si="15"/>
        <v>0.29557337120350236</v>
      </c>
      <c r="N35" s="29">
        <f t="shared" si="16"/>
        <v>64.6384099446268</v>
      </c>
      <c r="O35" s="35">
        <f t="shared" si="21"/>
        <v>41.812543434343425</v>
      </c>
      <c r="P35" s="81"/>
      <c r="Q35" s="80"/>
      <c r="R35" s="1"/>
      <c r="S35" s="1"/>
      <c r="T35" s="5">
        <f t="shared" si="17"/>
        <v>6</v>
      </c>
      <c r="U35" s="134"/>
      <c r="V35" s="135">
        <v>3</v>
      </c>
      <c r="W35" s="135"/>
      <c r="X35" s="136">
        <v>1</v>
      </c>
      <c r="Y35" s="137">
        <v>0</v>
      </c>
      <c r="Z35" s="137"/>
      <c r="AA35" s="138"/>
      <c r="AB35" s="137"/>
      <c r="AC35" s="137"/>
      <c r="AD35" s="16">
        <f t="shared" si="18"/>
        <v>1.7000000000000002</v>
      </c>
    </row>
    <row r="36" spans="1:30" ht="15.75" customHeight="1">
      <c r="A36" s="72">
        <v>7</v>
      </c>
      <c r="B36" s="43"/>
      <c r="C36" s="47"/>
      <c r="D36" s="24">
        <v>2</v>
      </c>
      <c r="E36" s="31">
        <v>20</v>
      </c>
      <c r="F36" s="27">
        <f t="shared" si="19"/>
        <v>0</v>
      </c>
      <c r="G36" s="28">
        <f t="shared" si="20"/>
        <v>0</v>
      </c>
      <c r="H36" s="33">
        <f t="shared" si="11"/>
        <v>0</v>
      </c>
      <c r="I36" s="26">
        <f t="shared" si="12"/>
        <v>1.3</v>
      </c>
      <c r="J36" s="34">
        <f t="shared" si="13"/>
        <v>0</v>
      </c>
      <c r="K36" s="24">
        <v>0</v>
      </c>
      <c r="L36" s="33">
        <f t="shared" si="14"/>
        <v>0</v>
      </c>
      <c r="M36" s="32">
        <f t="shared" si="15"/>
        <v>0</v>
      </c>
      <c r="N36" s="29">
        <f t="shared" si="16"/>
        <v>0</v>
      </c>
      <c r="O36" s="35">
        <f t="shared" si="21"/>
        <v>0.3782</v>
      </c>
      <c r="P36" s="81"/>
      <c r="Q36" s="81"/>
      <c r="R36" s="1"/>
      <c r="S36" s="1"/>
      <c r="T36" s="5">
        <f t="shared" si="17"/>
        <v>7</v>
      </c>
      <c r="U36" s="134"/>
      <c r="V36" s="135">
        <v>2</v>
      </c>
      <c r="W36" s="135"/>
      <c r="X36" s="136">
        <v>1</v>
      </c>
      <c r="Y36" s="137">
        <v>0</v>
      </c>
      <c r="Z36" s="137"/>
      <c r="AA36" s="138"/>
      <c r="AB36" s="137"/>
      <c r="AC36" s="137"/>
      <c r="AD36" s="16">
        <f t="shared" si="18"/>
        <v>1.3</v>
      </c>
    </row>
    <row r="37" spans="1:30" ht="15.75" customHeight="1">
      <c r="A37" s="72">
        <v>8</v>
      </c>
      <c r="B37" s="43"/>
      <c r="C37" s="47"/>
      <c r="D37" s="24">
        <v>2</v>
      </c>
      <c r="E37" s="31">
        <v>15</v>
      </c>
      <c r="F37" s="27">
        <f t="shared" si="19"/>
        <v>0</v>
      </c>
      <c r="G37" s="28">
        <f t="shared" si="20"/>
        <v>0</v>
      </c>
      <c r="H37" s="33">
        <f t="shared" si="11"/>
        <v>0</v>
      </c>
      <c r="I37" s="26">
        <f t="shared" si="12"/>
        <v>0</v>
      </c>
      <c r="J37" s="34">
        <f t="shared" si="13"/>
        <v>0</v>
      </c>
      <c r="K37" s="24">
        <v>3</v>
      </c>
      <c r="L37" s="33">
        <f t="shared" si="14"/>
        <v>0.14700000000000002</v>
      </c>
      <c r="M37" s="32">
        <f t="shared" si="15"/>
        <v>0.14700000000000002</v>
      </c>
      <c r="N37" s="29">
        <f t="shared" si="16"/>
        <v>0</v>
      </c>
      <c r="O37" s="35">
        <f t="shared" si="21"/>
        <v>0.3782</v>
      </c>
      <c r="P37" s="81"/>
      <c r="Q37" s="81"/>
      <c r="R37" s="1"/>
      <c r="S37" s="1"/>
      <c r="T37" s="5">
        <f t="shared" si="17"/>
        <v>8</v>
      </c>
      <c r="U37" s="134"/>
      <c r="V37" s="135">
        <v>0</v>
      </c>
      <c r="W37" s="135"/>
      <c r="X37" s="136">
        <v>0</v>
      </c>
      <c r="Y37" s="137">
        <v>0</v>
      </c>
      <c r="Z37" s="137"/>
      <c r="AA37" s="138"/>
      <c r="AB37" s="137"/>
      <c r="AC37" s="137"/>
      <c r="AD37" s="16">
        <f t="shared" si="18"/>
        <v>0</v>
      </c>
    </row>
    <row r="38" spans="1:30" ht="15.75" customHeight="1">
      <c r="A38" s="139"/>
      <c r="B38" s="140"/>
      <c r="C38" s="140"/>
      <c r="D38" s="69"/>
      <c r="E38" s="98"/>
      <c r="F38" s="141"/>
      <c r="G38" s="142"/>
      <c r="H38" s="98"/>
      <c r="I38" s="69"/>
      <c r="J38" s="142"/>
      <c r="K38" s="69"/>
      <c r="L38" s="49" t="s">
        <v>18</v>
      </c>
      <c r="M38" s="82">
        <f>SUM(M31:M37)</f>
        <v>1.579021252625456</v>
      </c>
      <c r="N38" s="152" t="s">
        <v>20</v>
      </c>
      <c r="O38" s="152"/>
      <c r="P38" s="81"/>
      <c r="Q38" s="81"/>
      <c r="R38" s="1"/>
      <c r="S38" s="1"/>
      <c r="T38" s="143"/>
      <c r="U38" s="144"/>
      <c r="V38" s="144"/>
      <c r="W38" s="144"/>
      <c r="X38" s="144"/>
      <c r="Y38" s="144"/>
      <c r="Z38" s="144"/>
      <c r="AA38" s="144"/>
      <c r="AB38" s="144"/>
      <c r="AC38" s="144"/>
      <c r="AD38" s="145"/>
    </row>
    <row r="39" spans="1:30" ht="15.75" customHeight="1">
      <c r="A39" s="140"/>
      <c r="B39" s="140"/>
      <c r="C39" s="140"/>
      <c r="D39" s="69"/>
      <c r="E39" s="98"/>
      <c r="F39" s="141"/>
      <c r="G39" s="142"/>
      <c r="H39" s="98"/>
      <c r="I39" s="69"/>
      <c r="J39" s="142"/>
      <c r="K39" s="69"/>
      <c r="L39" s="90"/>
      <c r="M39" s="68"/>
      <c r="N39" s="73"/>
      <c r="O39" s="50"/>
      <c r="P39" s="81"/>
      <c r="Q39" s="81"/>
      <c r="R39" s="1"/>
      <c r="S39" s="1"/>
      <c r="T39" s="143"/>
      <c r="U39" s="144"/>
      <c r="V39" s="144"/>
      <c r="W39" s="144"/>
      <c r="X39" s="144"/>
      <c r="Y39" s="144"/>
      <c r="Z39" s="144"/>
      <c r="AA39" s="144"/>
      <c r="AB39" s="144"/>
      <c r="AC39" s="144"/>
      <c r="AD39" s="145"/>
    </row>
    <row r="41" spans="1:17" ht="12.7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5" ht="20.25" customHeight="1">
      <c r="A42" s="116"/>
      <c r="B42" s="117"/>
      <c r="C42" s="117"/>
      <c r="D42" s="117"/>
      <c r="E42" s="118"/>
    </row>
    <row r="43" spans="1:17" ht="39" customHeight="1">
      <c r="A43" s="146" t="s">
        <v>67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</row>
    <row r="44" spans="1:17" ht="16.5" customHeight="1">
      <c r="A44" s="153" t="s">
        <v>23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</row>
    <row r="45" spans="1:17" ht="19.5" customHeight="1">
      <c r="A45" s="23"/>
      <c r="B45" s="23"/>
      <c r="C45" s="23"/>
      <c r="D45" s="23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7"/>
      <c r="P45" s="67"/>
      <c r="Q45" s="67"/>
    </row>
    <row r="46" spans="1:17" ht="22.5" customHeight="1">
      <c r="A46" s="25"/>
      <c r="B46" s="25">
        <v>1</v>
      </c>
      <c r="C46" s="25">
        <v>2</v>
      </c>
      <c r="D46" s="25">
        <v>3</v>
      </c>
      <c r="E46" s="25">
        <v>4</v>
      </c>
      <c r="F46" s="25">
        <v>5</v>
      </c>
      <c r="G46" s="25">
        <v>6</v>
      </c>
      <c r="H46" s="25">
        <v>7</v>
      </c>
      <c r="I46" s="25">
        <v>8</v>
      </c>
      <c r="J46" s="25">
        <v>9</v>
      </c>
      <c r="K46" s="25">
        <v>10</v>
      </c>
      <c r="L46" s="24">
        <v>11</v>
      </c>
      <c r="M46" s="24">
        <v>12</v>
      </c>
      <c r="N46" s="24">
        <v>13</v>
      </c>
      <c r="O46" s="24">
        <v>14</v>
      </c>
      <c r="P46" s="24">
        <v>15</v>
      </c>
      <c r="Q46" s="24">
        <v>16</v>
      </c>
    </row>
    <row r="47" spans="1:17" ht="63" customHeight="1">
      <c r="A47" s="71" t="s">
        <v>42</v>
      </c>
      <c r="B47" s="122" t="s">
        <v>70</v>
      </c>
      <c r="C47" s="126" t="s">
        <v>26</v>
      </c>
      <c r="D47" s="52" t="s">
        <v>28</v>
      </c>
      <c r="E47" s="58" t="s">
        <v>29</v>
      </c>
      <c r="F47" s="59" t="s">
        <v>30</v>
      </c>
      <c r="G47" s="59" t="s">
        <v>31</v>
      </c>
      <c r="H47" s="58" t="s">
        <v>32</v>
      </c>
      <c r="I47" s="58" t="s">
        <v>33</v>
      </c>
      <c r="J47" s="60" t="s">
        <v>34</v>
      </c>
      <c r="K47" s="61" t="s">
        <v>35</v>
      </c>
      <c r="L47" s="60" t="s">
        <v>36</v>
      </c>
      <c r="M47" s="62" t="s">
        <v>37</v>
      </c>
      <c r="N47" s="60" t="s">
        <v>38</v>
      </c>
      <c r="O47" s="63" t="s">
        <v>39</v>
      </c>
      <c r="P47" s="64" t="s">
        <v>40</v>
      </c>
      <c r="Q47" s="65" t="s">
        <v>41</v>
      </c>
    </row>
    <row r="48" spans="1:17" ht="15.75" customHeight="1">
      <c r="A48" s="79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4"/>
      <c r="P48" s="125"/>
      <c r="Q48" s="125"/>
    </row>
    <row r="49" spans="1:17" ht="17.25" customHeight="1">
      <c r="A49" s="168" t="s">
        <v>64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</row>
    <row r="50" spans="1:17" ht="21.75" customHeight="1">
      <c r="A50" s="168" t="s">
        <v>65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</row>
    <row r="51" spans="1:17" ht="19.5" customHeight="1">
      <c r="A51" s="168" t="s">
        <v>66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</row>
    <row r="52" spans="1:17" ht="18.75" customHeight="1">
      <c r="A52" s="72">
        <v>1</v>
      </c>
      <c r="B52" s="72">
        <v>1</v>
      </c>
      <c r="C52" s="119">
        <v>100000</v>
      </c>
      <c r="D52" s="48">
        <f>0.935*POWER(B52,-0.1915)</f>
        <v>0.935</v>
      </c>
      <c r="E52" s="46">
        <f>C52/(8250*0.9)</f>
        <v>13.468013468013469</v>
      </c>
      <c r="F52" s="24">
        <v>2.8</v>
      </c>
      <c r="G52" s="24">
        <v>32</v>
      </c>
      <c r="H52" s="120">
        <f>(317*E52)/(G52*G52)</f>
        <v>4.169297138047138</v>
      </c>
      <c r="I52" s="28">
        <f>(13920*POWER(E52,1.82))/POWER(G52,4.82)</f>
        <v>0.08793237153483247</v>
      </c>
      <c r="J52" s="121">
        <f>F52*I52</f>
        <v>0.2462106402975309</v>
      </c>
      <c r="K52" s="26">
        <f>AD52*1</f>
        <v>0</v>
      </c>
      <c r="L52" s="34">
        <f>(K52*H52*3.97*H52)/1000</f>
        <v>0</v>
      </c>
      <c r="M52" s="24">
        <v>-3</v>
      </c>
      <c r="N52" s="33">
        <f>0.049*M52</f>
        <v>-0.14700000000000002</v>
      </c>
      <c r="O52" s="32">
        <f>J52+L52+N52</f>
        <v>0.09921064029753088</v>
      </c>
      <c r="P52" s="29">
        <f>12*POWER(E52,0.4)</f>
        <v>33.95491619040226</v>
      </c>
      <c r="Q52" s="35">
        <f>0.6153*E52+0.3782</f>
        <v>8.665068686868686</v>
      </c>
    </row>
    <row r="53" spans="1:17" ht="18" customHeight="1">
      <c r="A53" s="72">
        <v>2</v>
      </c>
      <c r="B53" s="72">
        <v>2</v>
      </c>
      <c r="C53" s="119">
        <v>200000</v>
      </c>
      <c r="D53" s="48">
        <f>0.935*POWER(B53,-0.1915)</f>
        <v>0.8187746097531082</v>
      </c>
      <c r="E53" s="46">
        <f>C53/(8250*0.9)</f>
        <v>26.936026936026938</v>
      </c>
      <c r="F53" s="24">
        <v>2.8</v>
      </c>
      <c r="G53" s="31">
        <v>50</v>
      </c>
      <c r="H53" s="120">
        <f>(317*E53)/(G53*G53)</f>
        <v>3.4154882154882156</v>
      </c>
      <c r="I53" s="28">
        <f>(13920*POWER(E53,1.82))/POWER(G53,4.82)</f>
        <v>0.03612524930881143</v>
      </c>
      <c r="J53" s="121">
        <f>F53*I53</f>
        <v>0.101150698064672</v>
      </c>
      <c r="K53" s="26">
        <f>AD53*1</f>
        <v>0</v>
      </c>
      <c r="L53" s="34">
        <f>(K53*H53*3.97*H53)/1000</f>
        <v>0</v>
      </c>
      <c r="M53" s="24">
        <v>-3</v>
      </c>
      <c r="N53" s="33">
        <f>0.049*M53</f>
        <v>-0.14700000000000002</v>
      </c>
      <c r="O53" s="32">
        <f>J53+L53+N53</f>
        <v>-0.04584930193532802</v>
      </c>
      <c r="P53" s="29">
        <f>12*POWER(E53,0.4)</f>
        <v>44.803780522866404</v>
      </c>
      <c r="Q53" s="35">
        <f>0.6153*E53+0.3782</f>
        <v>16.951937373737373</v>
      </c>
    </row>
    <row r="54" spans="1:17" ht="19.5" customHeight="1">
      <c r="A54" s="72"/>
      <c r="B54" s="72"/>
      <c r="C54" s="47"/>
      <c r="D54" s="47"/>
      <c r="E54" s="31">
        <v>2.5</v>
      </c>
      <c r="F54" s="24">
        <v>2</v>
      </c>
      <c r="G54" s="31">
        <v>20</v>
      </c>
      <c r="H54" s="120">
        <f>(317*E54)/(G54*G54)</f>
        <v>1.98125</v>
      </c>
      <c r="I54" s="28">
        <f>(13920*POWER(E54,1.82))/POWER(G54,4.82)</f>
        <v>0.039529877814645974</v>
      </c>
      <c r="J54" s="121">
        <f>F54*I54</f>
        <v>0.07905975562929195</v>
      </c>
      <c r="K54" s="26">
        <f>AD54*1</f>
        <v>0</v>
      </c>
      <c r="L54" s="34">
        <f>(K54*H54*3.97*H54)/1000</f>
        <v>0</v>
      </c>
      <c r="M54" s="24">
        <v>-3</v>
      </c>
      <c r="N54" s="33">
        <f>0.049*M54</f>
        <v>-0.14700000000000002</v>
      </c>
      <c r="O54" s="32">
        <f>J54+L54+N54</f>
        <v>-0.06794024437070807</v>
      </c>
      <c r="P54" s="29">
        <f>12*POWER(E54,0.4)</f>
        <v>17.312398870886565</v>
      </c>
      <c r="Q54" s="35">
        <f>0.6153*E54+0.3782</f>
        <v>1.9164499999999998</v>
      </c>
    </row>
    <row r="55" spans="1:17" ht="17.25" customHeight="1">
      <c r="A55" s="72"/>
      <c r="B55" s="72"/>
      <c r="C55" s="47"/>
      <c r="D55" s="47"/>
      <c r="E55" s="31">
        <v>1.6</v>
      </c>
      <c r="F55" s="24">
        <v>2</v>
      </c>
      <c r="G55" s="31">
        <v>15</v>
      </c>
      <c r="H55" s="120">
        <f>(317*E55)/(G55*G55)</f>
        <v>2.2542222222222223</v>
      </c>
      <c r="I55" s="28">
        <f>(13920*POWER(E55,1.82))/POWER(G55,4.82)</f>
        <v>0.07020656665739679</v>
      </c>
      <c r="J55" s="121">
        <f>F55*I55</f>
        <v>0.14041313331479358</v>
      </c>
      <c r="K55" s="26">
        <f>AD55*1</f>
        <v>0</v>
      </c>
      <c r="L55" s="34">
        <f>(K55*H55*3.97*H55)/1000</f>
        <v>0</v>
      </c>
      <c r="M55" s="24">
        <v>-3</v>
      </c>
      <c r="N55" s="33">
        <f>0.049*M55</f>
        <v>-0.14700000000000002</v>
      </c>
      <c r="O55" s="32">
        <f>J55+L55+N55</f>
        <v>-0.006586866685206444</v>
      </c>
      <c r="P55" s="29">
        <f>12*POWER(E55,0.4)</f>
        <v>14.48202320770839</v>
      </c>
      <c r="Q55" s="35">
        <f>0.6153*E55+0.3782</f>
        <v>1.3626800000000001</v>
      </c>
    </row>
    <row r="58" spans="1:8" ht="18.75" customHeight="1">
      <c r="A58" s="173" t="s">
        <v>69</v>
      </c>
      <c r="B58" s="174"/>
      <c r="C58" s="174"/>
      <c r="D58" s="174"/>
      <c r="E58" s="174"/>
      <c r="F58" s="175"/>
      <c r="G58" s="175"/>
      <c r="H58" s="175"/>
    </row>
    <row r="59" spans="1:8" ht="12.75">
      <c r="A59" s="172"/>
      <c r="B59" s="147"/>
      <c r="C59" s="147"/>
      <c r="D59" s="147"/>
      <c r="E59" s="147"/>
      <c r="F59" s="147"/>
      <c r="G59" s="147"/>
      <c r="H59" s="147"/>
    </row>
    <row r="60" spans="1:8" ht="38.25">
      <c r="A60" s="104" t="s">
        <v>57</v>
      </c>
      <c r="B60" s="109" t="s">
        <v>45</v>
      </c>
      <c r="C60" s="59" t="s">
        <v>30</v>
      </c>
      <c r="D60" s="59" t="s">
        <v>62</v>
      </c>
      <c r="E60" s="59" t="s">
        <v>58</v>
      </c>
      <c r="F60" s="58" t="s">
        <v>59</v>
      </c>
      <c r="G60" s="58" t="s">
        <v>32</v>
      </c>
      <c r="H60" s="103" t="s">
        <v>60</v>
      </c>
    </row>
    <row r="61" spans="1:5" ht="12.75">
      <c r="A61" s="170"/>
      <c r="B61" s="171"/>
      <c r="C61" s="171"/>
      <c r="D61" s="171"/>
      <c r="E61" s="171"/>
    </row>
    <row r="62" spans="1:8" ht="15">
      <c r="A62" s="102">
        <v>1</v>
      </c>
      <c r="B62" s="106">
        <v>261.9</v>
      </c>
      <c r="C62" s="107">
        <v>14.5</v>
      </c>
      <c r="D62" s="107">
        <v>80</v>
      </c>
      <c r="E62" s="108">
        <v>1.3</v>
      </c>
      <c r="F62" s="40">
        <f>SQRT((POWER(E62,2))-(29160*(C62/1000)*(POWER(B62,1.82)/POWER(D62,4.82))))</f>
        <v>1.2972473240769173</v>
      </c>
      <c r="G62" s="40">
        <f>(353.7*B62)/(POWER(D62,2)*F62)</f>
        <v>11.157523256252862</v>
      </c>
      <c r="H62" s="105" t="s">
        <v>61</v>
      </c>
    </row>
    <row r="63" spans="1:8" ht="15">
      <c r="A63" s="102">
        <v>2</v>
      </c>
      <c r="B63" s="106">
        <v>254</v>
      </c>
      <c r="C63" s="107">
        <v>6.5</v>
      </c>
      <c r="D63" s="107">
        <v>80</v>
      </c>
      <c r="E63" s="108">
        <v>1.3</v>
      </c>
      <c r="F63" s="40">
        <f>SQRT((POWER(E63,2))-(29160*(C63/1000)*(POWER(B63,1.82)/POWER(D63,4.82))))</f>
        <v>1.2988336577162383</v>
      </c>
      <c r="G63" s="40">
        <f>(353.7*B63)/(POWER(D63,2)*F63)</f>
        <v>10.80774945013538</v>
      </c>
      <c r="H63" s="105" t="s">
        <v>61</v>
      </c>
    </row>
    <row r="64" spans="1:8" ht="15">
      <c r="A64" s="102">
        <v>3</v>
      </c>
      <c r="B64" s="106">
        <v>169</v>
      </c>
      <c r="C64" s="107">
        <v>12</v>
      </c>
      <c r="D64" s="107">
        <v>65</v>
      </c>
      <c r="E64" s="108">
        <v>1.3</v>
      </c>
      <c r="F64" s="40">
        <f>SQRT((POWER(E64,2))-(29160*(C64/1000)*(POWER(B64,1.82)/POWER(D64,4.82))))</f>
        <v>1.2972076264243304</v>
      </c>
      <c r="G64" s="40">
        <f>(353.7*B64)/(POWER(D64,2)*F64)</f>
        <v>10.906503871703293</v>
      </c>
      <c r="H64" s="105" t="s">
        <v>61</v>
      </c>
    </row>
    <row r="65" spans="1:8" ht="49.5" customHeight="1">
      <c r="A65" s="151" t="s">
        <v>63</v>
      </c>
      <c r="B65" s="152"/>
      <c r="C65" s="152"/>
      <c r="D65" s="152"/>
      <c r="E65" s="152"/>
      <c r="F65" s="147"/>
      <c r="G65" s="147"/>
      <c r="H65" s="147"/>
    </row>
    <row r="67" spans="1:17" ht="12.7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9" spans="1:17" ht="13.5">
      <c r="A69" s="190" t="s">
        <v>43</v>
      </c>
      <c r="B69" s="191"/>
      <c r="C69" s="191"/>
      <c r="D69" s="192"/>
      <c r="E69" s="193" t="s">
        <v>50</v>
      </c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5"/>
    </row>
    <row r="70" spans="1:17" ht="38.25" customHeight="1">
      <c r="A70" s="196" t="s">
        <v>51</v>
      </c>
      <c r="B70" s="197"/>
      <c r="C70" s="197"/>
      <c r="D70" s="198"/>
      <c r="E70" s="31" t="s">
        <v>46</v>
      </c>
      <c r="F70" s="100" t="s">
        <v>45</v>
      </c>
      <c r="G70" s="199" t="s">
        <v>21</v>
      </c>
      <c r="H70" s="195"/>
      <c r="I70" s="39" t="s">
        <v>15</v>
      </c>
      <c r="J70" s="200" t="s">
        <v>16</v>
      </c>
      <c r="K70" s="201"/>
      <c r="L70" s="201"/>
      <c r="M70" s="201"/>
      <c r="N70" s="202"/>
      <c r="O70" s="101" t="s">
        <v>47</v>
      </c>
      <c r="P70" s="100" t="s">
        <v>48</v>
      </c>
      <c r="Q70" s="100" t="s">
        <v>49</v>
      </c>
    </row>
    <row r="71" spans="1:17" ht="29.25" customHeight="1">
      <c r="A71" s="185" t="s">
        <v>52</v>
      </c>
      <c r="B71" s="186"/>
      <c r="C71" s="186"/>
      <c r="D71" s="187"/>
      <c r="E71" s="31">
        <v>10</v>
      </c>
      <c r="F71" s="38">
        <f>4.1*E71*(0.8753-0.1134*LN(E71))</f>
        <v>25.181660868633482</v>
      </c>
      <c r="G71" s="188">
        <v>100000</v>
      </c>
      <c r="H71" s="169"/>
      <c r="I71" s="40">
        <f>G71/(8250*0.9)</f>
        <v>13.468013468013469</v>
      </c>
      <c r="J71" s="189" t="s">
        <v>17</v>
      </c>
      <c r="K71" s="189"/>
      <c r="L71" s="189"/>
      <c r="M71" s="189"/>
      <c r="N71" s="189"/>
      <c r="O71" s="41">
        <v>14</v>
      </c>
      <c r="P71" s="42">
        <f>12*POWER(O71,0.4)</f>
        <v>34.48517707233764</v>
      </c>
      <c r="Q71" s="42">
        <f>0.62*POWER(O71,0.998)</f>
        <v>8.634306658185432</v>
      </c>
    </row>
    <row r="72" spans="1:17" ht="38.25" customHeight="1">
      <c r="A72" s="180" t="s">
        <v>53</v>
      </c>
      <c r="B72" s="181"/>
      <c r="C72" s="181"/>
      <c r="D72" s="181"/>
      <c r="E72" s="98"/>
      <c r="F72" s="98"/>
      <c r="G72" s="182"/>
      <c r="H72" s="183"/>
      <c r="I72" s="99"/>
      <c r="J72" s="184"/>
      <c r="K72" s="184"/>
      <c r="L72" s="184"/>
      <c r="M72" s="184"/>
      <c r="N72" s="184"/>
      <c r="O72" s="80"/>
      <c r="P72" s="80"/>
      <c r="Q72" s="80"/>
    </row>
    <row r="73" spans="1:17" ht="61.5" customHeight="1">
      <c r="A73" s="176" t="s">
        <v>54</v>
      </c>
      <c r="B73" s="177"/>
      <c r="C73" s="177"/>
      <c r="D73" s="177"/>
      <c r="E73" s="98"/>
      <c r="F73" s="98"/>
      <c r="G73" s="182"/>
      <c r="H73" s="183"/>
      <c r="I73" s="99"/>
      <c r="J73" s="184"/>
      <c r="K73" s="184"/>
      <c r="L73" s="184"/>
      <c r="M73" s="184"/>
      <c r="N73" s="184"/>
      <c r="O73" s="80"/>
      <c r="P73" s="80"/>
      <c r="Q73" s="80"/>
    </row>
    <row r="74" spans="1:4" ht="45.75" customHeight="1">
      <c r="A74" s="180" t="s">
        <v>55</v>
      </c>
      <c r="B74" s="181"/>
      <c r="C74" s="181"/>
      <c r="D74" s="181"/>
    </row>
    <row r="75" spans="1:4" ht="37.5" customHeight="1">
      <c r="A75" s="176" t="s">
        <v>56</v>
      </c>
      <c r="B75" s="177"/>
      <c r="C75" s="177"/>
      <c r="D75" s="177"/>
    </row>
    <row r="76" spans="1:4" ht="70.5" customHeight="1">
      <c r="A76" s="178" t="s">
        <v>44</v>
      </c>
      <c r="B76" s="179"/>
      <c r="C76" s="179"/>
      <c r="D76" s="179"/>
    </row>
  </sheetData>
  <sheetProtection/>
  <mergeCells count="33">
    <mergeCell ref="A71:D71"/>
    <mergeCell ref="G71:H71"/>
    <mergeCell ref="J71:N71"/>
    <mergeCell ref="A69:D69"/>
    <mergeCell ref="A74:D74"/>
    <mergeCell ref="E69:Q69"/>
    <mergeCell ref="A70:D70"/>
    <mergeCell ref="G70:H70"/>
    <mergeCell ref="J70:N70"/>
    <mergeCell ref="A75:D75"/>
    <mergeCell ref="A76:D76"/>
    <mergeCell ref="A72:D72"/>
    <mergeCell ref="G72:H72"/>
    <mergeCell ref="J72:N72"/>
    <mergeCell ref="A73:D73"/>
    <mergeCell ref="G73:H73"/>
    <mergeCell ref="J73:N73"/>
    <mergeCell ref="A49:Q49"/>
    <mergeCell ref="A61:E61"/>
    <mergeCell ref="A59:H59"/>
    <mergeCell ref="A58:H58"/>
    <mergeCell ref="A50:Q50"/>
    <mergeCell ref="A51:Q51"/>
    <mergeCell ref="A43:Q43"/>
    <mergeCell ref="A26:Q27"/>
    <mergeCell ref="A65:H65"/>
    <mergeCell ref="A44:Q44"/>
    <mergeCell ref="N38:O38"/>
    <mergeCell ref="T4:AD4"/>
    <mergeCell ref="B6:Q7"/>
    <mergeCell ref="B4:Q4"/>
    <mergeCell ref="B5:Q5"/>
    <mergeCell ref="A25:Q25"/>
  </mergeCells>
  <printOptions/>
  <pageMargins left="0.3937007874015748" right="0.3937007874015748" top="0.4330708661417323" bottom="0.669291338582677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user</cp:lastModifiedBy>
  <cp:lastPrinted>2006-04-17T11:04:20Z</cp:lastPrinted>
  <dcterms:created xsi:type="dcterms:W3CDTF">1997-04-16T20:02:28Z</dcterms:created>
  <dcterms:modified xsi:type="dcterms:W3CDTF">2009-08-29T08:19:07Z</dcterms:modified>
  <cp:category/>
  <cp:version/>
  <cp:contentType/>
  <cp:contentStatus/>
</cp:coreProperties>
</file>